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72-永丰土地\P01建行取值版\"/>
    </mc:Choice>
  </mc:AlternateContent>
  <xr:revisionPtr revIDLastSave="0" documentId="13_ncr:1_{110937AC-BB05-4C85-9F24-819AC6BA0C6A}" xr6:coauthVersionLast="47" xr6:coauthVersionMax="47" xr10:uidLastSave="{00000000-0000-0000-0000-000000000000}"/>
  <bookViews>
    <workbookView xWindow="345" yWindow="615" windowWidth="12450" windowHeight="1269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典型户型修正" sheetId="31" state="hidden" r:id="rId42"/>
    <sheet name="不动产比较法-车位" sheetId="35" r:id="rId43"/>
    <sheet name="存贷款利率" sheetId="65"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6" i="66" l="1"/>
  <c r="B16" i="66"/>
  <c r="D16" i="66" l="1"/>
  <c r="G16" i="66" l="1"/>
  <c r="I31" i="35" l="1"/>
  <c r="E31" i="35"/>
  <c r="G31" i="35"/>
  <c r="G37" i="35" l="1"/>
  <c r="E37" i="35"/>
  <c r="C17" i="66" l="1"/>
  <c r="B17" i="66"/>
  <c r="C15" i="66"/>
  <c r="B15" i="66"/>
  <c r="D15" i="66" l="1"/>
  <c r="G15" i="66" l="1"/>
  <c r="E104" i="21" l="1"/>
  <c r="F104" i="21" s="1"/>
  <c r="D17" i="66" l="1"/>
  <c r="G17" i="66" l="1"/>
  <c r="D104" i="21" l="1"/>
  <c r="K18" i="66" l="1"/>
  <c r="B31" i="66" l="1"/>
  <c r="B30" i="66"/>
  <c r="B32" i="66" l="1"/>
  <c r="E30" i="66"/>
  <c r="D31" i="66"/>
  <c r="D30" i="66"/>
  <c r="C31" i="66"/>
  <c r="C30" i="66"/>
  <c r="D29" i="66"/>
  <c r="C29" i="66"/>
  <c r="E31" i="66"/>
  <c r="E29" i="66"/>
  <c r="A31" i="66"/>
  <c r="A30" i="66"/>
  <c r="A29" i="66"/>
  <c r="A28" i="66"/>
  <c r="J18" i="66" l="1"/>
  <c r="E5" i="66"/>
  <c r="E48" i="39" l="1"/>
  <c r="L14" i="1"/>
  <c r="D38" i="9" l="1"/>
  <c r="C38" i="9"/>
  <c r="C37" i="9"/>
  <c r="AH8" i="1"/>
  <c r="I37" i="35"/>
  <c r="K34" i="72"/>
  <c r="I48" i="72" l="1"/>
  <c r="I47" i="72"/>
  <c r="I46" i="72"/>
  <c r="I45" i="72"/>
  <c r="K23" i="21"/>
  <c r="K20" i="36" s="1"/>
  <c r="K20" i="35" s="1"/>
  <c r="K19" i="21"/>
  <c r="K16" i="36" s="1"/>
  <c r="K16" i="35" s="1"/>
  <c r="K17" i="21"/>
  <c r="K14" i="36" s="1"/>
  <c r="K14" i="35" s="1"/>
  <c r="J45" i="72" l="1"/>
  <c r="J47" i="72" s="1"/>
  <c r="J46" i="72"/>
  <c r="J48" i="72" s="1"/>
  <c r="I48" i="39"/>
  <c r="G48" i="39"/>
  <c r="L8" i="1"/>
  <c r="AH13" i="3"/>
  <c r="E9" i="6" s="1"/>
  <c r="D3" i="4"/>
  <c r="I40" i="39"/>
  <c r="G40" i="39"/>
  <c r="E40" i="39"/>
  <c r="O8" i="72"/>
  <c r="N8" i="72"/>
  <c r="K8" i="72" s="1"/>
  <c r="M8" i="72"/>
  <c r="A3" i="3" s="1"/>
  <c r="L8" i="72"/>
  <c r="C13" i="39"/>
  <c r="C11" i="21" s="1"/>
  <c r="C7" i="39"/>
  <c r="D119" i="39"/>
  <c r="E119" i="39" s="1"/>
  <c r="F119" i="39" s="1"/>
  <c r="G119" i="39" s="1"/>
  <c r="H119" i="39" s="1"/>
  <c r="I9" i="39"/>
  <c r="G9" i="39"/>
  <c r="E9" i="39"/>
  <c r="I7" i="39"/>
  <c r="G7" i="39"/>
  <c r="E7" i="39"/>
  <c r="K102" i="72" l="1"/>
  <c r="O30" i="72" s="1"/>
  <c r="L102" i="72"/>
  <c r="O26" i="72" s="1"/>
  <c r="M102" i="72"/>
  <c r="O28" i="72" s="1"/>
  <c r="O17" i="72"/>
  <c r="K74" i="72" l="1"/>
  <c r="M30" i="72" s="1"/>
  <c r="K13" i="3" s="1"/>
  <c r="G20" i="6" s="1"/>
  <c r="L74" i="72"/>
  <c r="M26" i="72" s="1"/>
  <c r="AN13" i="3" s="1"/>
  <c r="M18" i="72"/>
  <c r="AL13" i="3" s="1"/>
  <c r="L28" i="72"/>
  <c r="L26" i="72"/>
  <c r="L25" i="72"/>
  <c r="L22" i="72"/>
  <c r="I22" i="72"/>
  <c r="L23" i="72"/>
  <c r="L14" i="72"/>
  <c r="I14" i="72"/>
  <c r="I13" i="72"/>
  <c r="I23" i="72"/>
  <c r="L24" i="72"/>
  <c r="L17" i="72"/>
  <c r="L16" i="72"/>
  <c r="L15" i="72"/>
  <c r="L13" i="72"/>
  <c r="L12" i="72"/>
  <c r="I99" i="72"/>
  <c r="J97" i="72"/>
  <c r="H97" i="72" s="1"/>
  <c r="J89" i="72"/>
  <c r="J90" i="72"/>
  <c r="H90" i="72" s="1"/>
  <c r="G88" i="72"/>
  <c r="H91" i="72"/>
  <c r="H92" i="72"/>
  <c r="H93" i="72"/>
  <c r="H94" i="72"/>
  <c r="H95" i="72"/>
  <c r="H96" i="72"/>
  <c r="H98" i="72"/>
  <c r="H100" i="72"/>
  <c r="C94" i="72"/>
  <c r="C95" i="72"/>
  <c r="C96" i="72"/>
  <c r="C97" i="72"/>
  <c r="G102" i="72"/>
  <c r="O19" i="72" s="1"/>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AT13" i="3" s="1"/>
  <c r="F74" i="72"/>
  <c r="E74" i="72"/>
  <c r="M16" i="72" s="1"/>
  <c r="AD13" i="3" s="1"/>
  <c r="D74" i="72"/>
  <c r="M11" i="72" s="1"/>
  <c r="I13" i="3" s="1"/>
  <c r="F19" i="6" s="1"/>
  <c r="H73" i="72"/>
  <c r="C73" i="72"/>
  <c r="H72" i="72"/>
  <c r="C72" i="72"/>
  <c r="C71" i="72"/>
  <c r="H70" i="72"/>
  <c r="C70" i="72"/>
  <c r="C69" i="72"/>
  <c r="H68" i="72"/>
  <c r="C68" i="72"/>
  <c r="H67" i="72"/>
  <c r="C67" i="72"/>
  <c r="H66" i="72"/>
  <c r="C66" i="72"/>
  <c r="H65" i="72"/>
  <c r="C65" i="72"/>
  <c r="C64" i="72"/>
  <c r="H63" i="72"/>
  <c r="C63" i="72"/>
  <c r="C108" i="72"/>
  <c r="M108" i="72"/>
  <c r="C109" i="72"/>
  <c r="E109" i="72" s="1"/>
  <c r="D112" i="72"/>
  <c r="E112" i="72" s="1"/>
  <c r="H119" i="72"/>
  <c r="H121" i="72" s="1"/>
  <c r="L27" i="72" l="1"/>
  <c r="L35" i="72" s="1"/>
  <c r="N20" i="72"/>
  <c r="H89" i="72"/>
  <c r="J102" i="72"/>
  <c r="O21" i="72" s="1"/>
  <c r="L19" i="72"/>
  <c r="J74" i="72"/>
  <c r="M21" i="72" s="1"/>
  <c r="AF13" i="3" s="1"/>
  <c r="B96" i="72"/>
  <c r="B81" i="72"/>
  <c r="B101" i="72"/>
  <c r="B91" i="72"/>
  <c r="B100" i="72"/>
  <c r="B92" i="72"/>
  <c r="H99" i="72"/>
  <c r="B99" i="72" s="1"/>
  <c r="B97" i="72"/>
  <c r="B95" i="72"/>
  <c r="B94" i="72"/>
  <c r="B90" i="72"/>
  <c r="C102" i="72"/>
  <c r="B89" i="72"/>
  <c r="B98" i="72"/>
  <c r="B56" i="72"/>
  <c r="B93" i="72"/>
  <c r="I102" i="72"/>
  <c r="O27" i="72" s="1"/>
  <c r="O35" i="72" s="1"/>
  <c r="B88" i="72"/>
  <c r="I74" i="72"/>
  <c r="M27" i="72"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M35" i="72" l="1"/>
  <c r="C31" i="35" s="1"/>
  <c r="M13" i="3"/>
  <c r="G21" i="6" s="1"/>
  <c r="B38" i="9" s="1"/>
  <c r="H102" i="72"/>
  <c r="B57" i="72"/>
  <c r="B102" i="72"/>
  <c r="B79" i="72"/>
  <c r="B82" i="72"/>
  <c r="B55" i="72"/>
  <c r="B74" i="72"/>
  <c r="C110" i="72"/>
  <c r="E110" i="72" s="1"/>
  <c r="E113" i="72" s="1"/>
  <c r="G113" i="72" s="1"/>
  <c r="C113" i="72"/>
  <c r="D107" i="72"/>
  <c r="E38" i="9" l="1"/>
  <c r="D28" i="66"/>
  <c r="D32" i="66" s="1"/>
  <c r="E114" i="72"/>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V18" i="70"/>
  <c r="Z3" i="70"/>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B51" i="63" s="1"/>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A26" i="51" s="1"/>
  <c r="B19" i="63" s="1"/>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s="1"/>
  <c r="C81" i="59"/>
  <c r="T81" i="59" s="1"/>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T73" i="59" s="1"/>
  <c r="B73" i="59"/>
  <c r="S73" i="59"/>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AA40" i="59" s="1"/>
  <c r="O40" i="59"/>
  <c r="Y40" i="59" s="1"/>
  <c r="Z40" i="59" s="1"/>
  <c r="N40" i="59"/>
  <c r="X40" i="59" s="1"/>
  <c r="Q39" i="59"/>
  <c r="P39" i="59"/>
  <c r="O39" i="59"/>
  <c r="N39" i="59"/>
  <c r="Q38" i="59"/>
  <c r="F39" i="59" s="1"/>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D47" i="59"/>
  <c r="D59" i="59"/>
  <c r="Q68" i="59"/>
  <c r="C68" i="59"/>
  <c r="Q69" i="59"/>
  <c r="C76" i="59"/>
  <c r="E80" i="59"/>
  <c r="E79" i="59" s="1"/>
  <c r="D81" i="59"/>
  <c r="U16" i="4"/>
  <c r="S16" i="4"/>
  <c r="Q16" i="4"/>
  <c r="R16" i="4" s="1"/>
  <c r="O16" i="4"/>
  <c r="M16" i="4"/>
  <c r="K16" i="4"/>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B2" i="52"/>
  <c r="B15" i="52" s="1"/>
  <c r="F41" i="4"/>
  <c r="J52" i="40" s="1"/>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F42" i="34"/>
  <c r="AA42" i="34" s="1"/>
  <c r="J38" i="34"/>
  <c r="AC38" i="34" s="1"/>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H29" i="40" s="1"/>
  <c r="U29" i="40" s="1"/>
  <c r="D93" i="40"/>
  <c r="E93" i="40" s="1"/>
  <c r="D91" i="40"/>
  <c r="D89" i="40"/>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F39" i="39" s="1"/>
  <c r="AA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F47" i="39" s="1"/>
  <c r="AA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F33" i="39" s="1"/>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AC26" i="37" s="1"/>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S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D70" i="36"/>
  <c r="H22" i="36"/>
  <c r="U22" i="36" s="1"/>
  <c r="D68" i="36"/>
  <c r="E68" i="36" s="1"/>
  <c r="H20" i="36" s="1"/>
  <c r="D64" i="36"/>
  <c r="E64" i="36" s="1"/>
  <c r="D62" i="36"/>
  <c r="E62" i="36" s="1"/>
  <c r="B59" i="36"/>
  <c r="B57"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s="1"/>
  <c r="AC24" i="35" s="1"/>
  <c r="B73" i="35"/>
  <c r="F23" i="35" s="1"/>
  <c r="B57" i="35"/>
  <c r="F11" i="35" s="1"/>
  <c r="B61" i="35"/>
  <c r="B59" i="35"/>
  <c r="H12" i="35" s="1"/>
  <c r="B131" i="34"/>
  <c r="J47" i="34" s="1"/>
  <c r="AC47" i="34" s="1"/>
  <c r="B129" i="34"/>
  <c r="J46" i="34" s="1"/>
  <c r="AC46" i="34" s="1"/>
  <c r="B127" i="34"/>
  <c r="B99" i="34"/>
  <c r="B97" i="34"/>
  <c r="J31" i="34" s="1"/>
  <c r="W31" i="34" s="1"/>
  <c r="B95" i="34"/>
  <c r="H30" i="34" s="1"/>
  <c r="AB30" i="34" s="1"/>
  <c r="B93" i="34"/>
  <c r="B75" i="34"/>
  <c r="B73" i="34"/>
  <c r="F13" i="34" s="1"/>
  <c r="B71" i="34"/>
  <c r="H12" i="34" s="1"/>
  <c r="AB12" i="34" s="1"/>
  <c r="B130" i="33"/>
  <c r="B128" i="33"/>
  <c r="B126" i="33"/>
  <c r="B98" i="33"/>
  <c r="F31" i="33" s="1"/>
  <c r="AA31" i="33" s="1"/>
  <c r="B96" i="33"/>
  <c r="F30" i="33" s="1"/>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c r="F85" i="33" s="1"/>
  <c r="G85" i="33" s="1"/>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J46" i="21" s="1"/>
  <c r="W46" i="21" s="1"/>
  <c r="B128" i="21"/>
  <c r="H45" i="21" s="1"/>
  <c r="B126" i="21"/>
  <c r="B98" i="21"/>
  <c r="B96" i="21"/>
  <c r="H30" i="21" s="1"/>
  <c r="U30" i="21" s="1"/>
  <c r="B94" i="21"/>
  <c r="J29" i="21" s="1"/>
  <c r="AC29" i="21" s="1"/>
  <c r="B92" i="21"/>
  <c r="F28" i="21" s="1"/>
  <c r="B90" i="21"/>
  <c r="J27" i="21" s="1"/>
  <c r="W27" i="21" s="1"/>
  <c r="B74" i="21"/>
  <c r="J14" i="21" s="1"/>
  <c r="B72" i="21"/>
  <c r="F13" i="21" s="1"/>
  <c r="B70" i="21"/>
  <c r="F12" i="21" s="1"/>
  <c r="F10" i="21"/>
  <c r="AA10"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33" i="21"/>
  <c r="AC33" i="21" s="1"/>
  <c r="H33" i="21"/>
  <c r="U33" i="21" s="1"/>
  <c r="F33" i="21"/>
  <c r="AA33" i="21" s="1"/>
  <c r="J10" i="21"/>
  <c r="AC10" i="21" s="1"/>
  <c r="H26" i="21"/>
  <c r="AB26" i="21" s="1"/>
  <c r="F19" i="21"/>
  <c r="AA19" i="21" s="1"/>
  <c r="H19" i="21"/>
  <c r="AB19" i="21" s="1"/>
  <c r="J26" i="21"/>
  <c r="W26" i="21" s="1"/>
  <c r="F26" i="21"/>
  <c r="AA26" i="21" s="1"/>
  <c r="AB41" i="21"/>
  <c r="S41" i="21"/>
  <c r="AA41" i="21"/>
  <c r="S10" i="39"/>
  <c r="E103" i="37"/>
  <c r="F103" i="37" s="1"/>
  <c r="G103" i="37" s="1"/>
  <c r="H103" i="37" s="1"/>
  <c r="I103" i="37" s="1"/>
  <c r="J103" i="37" s="1"/>
  <c r="K103" i="37" s="1"/>
  <c r="L103" i="37" s="1"/>
  <c r="M103" i="37" s="1"/>
  <c r="F29" i="36"/>
  <c r="AA29" i="36" s="1"/>
  <c r="F16" i="36"/>
  <c r="AA16" i="36" s="1"/>
  <c r="AC31" i="36"/>
  <c r="AC27" i="35"/>
  <c r="U31" i="35"/>
  <c r="W24" i="35"/>
  <c r="F36" i="34"/>
  <c r="S36" i="34" s="1"/>
  <c r="S34" i="34"/>
  <c r="W39" i="34"/>
  <c r="H39" i="33"/>
  <c r="AB39" i="33" s="1"/>
  <c r="U33" i="33"/>
  <c r="S33" i="33"/>
  <c r="U38" i="33"/>
  <c r="H39" i="37"/>
  <c r="AB39" i="37" s="1"/>
  <c r="W10" i="40"/>
  <c r="U11" i="40"/>
  <c r="U36" i="40"/>
  <c r="U36" i="39"/>
  <c r="H32" i="33"/>
  <c r="AB32" i="33" s="1"/>
  <c r="J27" i="36"/>
  <c r="W27" i="36" s="1"/>
  <c r="J34" i="36"/>
  <c r="J30" i="35"/>
  <c r="W30" i="35" s="1"/>
  <c r="F22" i="35"/>
  <c r="S22" i="35" s="1"/>
  <c r="H10" i="35"/>
  <c r="U10" i="35" s="1"/>
  <c r="J29" i="36"/>
  <c r="AC29" i="36" s="1"/>
  <c r="F12" i="36"/>
  <c r="S12" i="36" s="1"/>
  <c r="F34" i="36"/>
  <c r="H16" i="35"/>
  <c r="U16" i="35" s="1"/>
  <c r="H33" i="35"/>
  <c r="AB33" i="35" s="1"/>
  <c r="W8" i="35"/>
  <c r="AC8" i="35"/>
  <c r="F35" i="37"/>
  <c r="S35" i="37" s="1"/>
  <c r="J34" i="37"/>
  <c r="W34" i="37" s="1"/>
  <c r="H43" i="34"/>
  <c r="U42" i="34"/>
  <c r="E114" i="34"/>
  <c r="F114" i="34" s="1"/>
  <c r="G114" i="34" s="1"/>
  <c r="H114" i="34" s="1"/>
  <c r="I114" i="34" s="1"/>
  <c r="J114" i="34" s="1"/>
  <c r="K114" i="34" s="1"/>
  <c r="L114" i="34" s="1"/>
  <c r="M114" i="34" s="1"/>
  <c r="H36" i="34"/>
  <c r="U36" i="34" s="1"/>
  <c r="F37" i="34"/>
  <c r="AA37" i="34" s="1"/>
  <c r="F33" i="34"/>
  <c r="F19" i="34"/>
  <c r="AA19" i="34" s="1"/>
  <c r="J10" i="34"/>
  <c r="AC10" i="34" s="1"/>
  <c r="E113" i="33"/>
  <c r="F113" i="33" s="1"/>
  <c r="G113" i="33" s="1"/>
  <c r="H113" i="33" s="1"/>
  <c r="I113" i="33" s="1"/>
  <c r="J113" i="33" s="1"/>
  <c r="K113" i="33" s="1"/>
  <c r="L113" i="33" s="1"/>
  <c r="M113" i="33" s="1"/>
  <c r="F36" i="33"/>
  <c r="S36" i="33" s="1"/>
  <c r="F19" i="33"/>
  <c r="S19" i="33" s="1"/>
  <c r="J19" i="33"/>
  <c r="W19" i="33" s="1"/>
  <c r="W40" i="33"/>
  <c r="F125" i="21"/>
  <c r="G125" i="21" s="1"/>
  <c r="H29" i="35"/>
  <c r="AB29" i="35" s="1"/>
  <c r="S34" i="37"/>
  <c r="AA34" i="37"/>
  <c r="AC43" i="34"/>
  <c r="AB40" i="34"/>
  <c r="W36" i="34"/>
  <c r="J19" i="34"/>
  <c r="AC19" i="34" s="1"/>
  <c r="H37" i="33"/>
  <c r="AB37" i="33" s="1"/>
  <c r="S37" i="33"/>
  <c r="W43" i="34"/>
  <c r="AC42" i="34"/>
  <c r="W42" i="34"/>
  <c r="W38" i="34"/>
  <c r="AA38" i="34"/>
  <c r="S38" i="34"/>
  <c r="J37" i="33"/>
  <c r="W37" i="33" s="1"/>
  <c r="J42" i="21"/>
  <c r="AC42" i="21" s="1"/>
  <c r="J44" i="34"/>
  <c r="F44" i="34"/>
  <c r="S44" i="34" s="1"/>
  <c r="J10" i="35"/>
  <c r="W10" i="35" s="1"/>
  <c r="AL5" i="3"/>
  <c r="BQ13" i="3"/>
  <c r="H28" i="21"/>
  <c r="AB28" i="21" s="1"/>
  <c r="J28" i="21"/>
  <c r="AC28" i="21" s="1"/>
  <c r="J30" i="21"/>
  <c r="J44" i="21"/>
  <c r="W44" i="21" s="1"/>
  <c r="H44" i="21"/>
  <c r="U44" i="21" s="1"/>
  <c r="F44" i="21"/>
  <c r="AA44" i="21" s="1"/>
  <c r="H46" i="21"/>
  <c r="AB46" i="21" s="1"/>
  <c r="H26"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H27" i="21"/>
  <c r="H29" i="21"/>
  <c r="U29" i="21" s="1"/>
  <c r="F29" i="21"/>
  <c r="F31" i="21"/>
  <c r="S31" i="21" s="1"/>
  <c r="F13" i="33"/>
  <c r="S13" i="33" s="1"/>
  <c r="J31" i="33"/>
  <c r="AC31" i="33" s="1"/>
  <c r="H31" i="33"/>
  <c r="U31" i="33" s="1"/>
  <c r="S31" i="33"/>
  <c r="F45" i="33"/>
  <c r="S45" i="33" s="1"/>
  <c r="H28" i="36"/>
  <c r="U28" i="36" s="1"/>
  <c r="H32" i="36"/>
  <c r="AB32" i="36"/>
  <c r="J32" i="36"/>
  <c r="W32" i="36" s="1"/>
  <c r="J11" i="36"/>
  <c r="W11" i="36" s="1"/>
  <c r="E89" i="37"/>
  <c r="F89" i="37" s="1"/>
  <c r="G89" i="37" s="1"/>
  <c r="H89" i="37" s="1"/>
  <c r="I89" i="37" s="1"/>
  <c r="J89" i="37" s="1"/>
  <c r="K89" i="37" s="1"/>
  <c r="L89" i="37" s="1"/>
  <c r="M89" i="37" s="1"/>
  <c r="J29" i="37"/>
  <c r="W29" i="37"/>
  <c r="F29" i="37"/>
  <c r="AB36" i="37"/>
  <c r="J37" i="37"/>
  <c r="AC37" i="37" s="1"/>
  <c r="H37" i="37"/>
  <c r="U37" i="37" s="1"/>
  <c r="H40" i="37"/>
  <c r="U40" i="37" s="1"/>
  <c r="J40" i="37"/>
  <c r="F40" i="37"/>
  <c r="AA40" i="37" s="1"/>
  <c r="H30" i="33"/>
  <c r="S30" i="33"/>
  <c r="J30" i="33"/>
  <c r="W30" i="33" s="1"/>
  <c r="J46" i="33"/>
  <c r="AC46" i="33" s="1"/>
  <c r="F46" i="33"/>
  <c r="AA46" i="33" s="1"/>
  <c r="H46" i="33"/>
  <c r="H13" i="34"/>
  <c r="U13" i="34" s="1"/>
  <c r="J13" i="34"/>
  <c r="W13" i="34" s="1"/>
  <c r="J29" i="34"/>
  <c r="AC29" i="34" s="1"/>
  <c r="F29" i="34"/>
  <c r="S29" i="34" s="1"/>
  <c r="H29" i="34"/>
  <c r="U29" i="34" s="1"/>
  <c r="H31" i="34"/>
  <c r="AB31" i="34" s="1"/>
  <c r="F31" i="34"/>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F13" i="37"/>
  <c r="S13" i="37" s="1"/>
  <c r="J13" i="37"/>
  <c r="AC13" i="37" s="1"/>
  <c r="J28" i="37"/>
  <c r="H28" i="37"/>
  <c r="H38" i="37"/>
  <c r="AB38" i="37" s="1"/>
  <c r="J38" i="37"/>
  <c r="AC38" i="37" s="1"/>
  <c r="F38" i="37"/>
  <c r="S38" i="37" s="1"/>
  <c r="F14" i="37"/>
  <c r="J14" i="37"/>
  <c r="W14" i="37" s="1"/>
  <c r="J36" i="37"/>
  <c r="U36" i="37"/>
  <c r="G529" i="3"/>
  <c r="G517" i="3"/>
  <c r="G513" i="3"/>
  <c r="G499" i="3"/>
  <c r="G493" i="3"/>
  <c r="G485" i="3"/>
  <c r="G17" i="3"/>
  <c r="G561" i="3"/>
  <c r="G557" i="3"/>
  <c r="G549" i="3"/>
  <c r="G539" i="3"/>
  <c r="BL569" i="3"/>
  <c r="BL561" i="3"/>
  <c r="BL553" i="3"/>
  <c r="BL519" i="3"/>
  <c r="BL511" i="3"/>
  <c r="BL563" i="3"/>
  <c r="BL533" i="3"/>
  <c r="BL525" i="3"/>
  <c r="G510" i="3"/>
  <c r="BL503" i="3"/>
  <c r="BL495" i="3"/>
  <c r="BA569" i="3"/>
  <c r="BA565" i="3"/>
  <c r="BA559" i="3"/>
  <c r="BA521" i="3"/>
  <c r="BA509" i="3"/>
  <c r="BA501" i="3"/>
  <c r="BA566" i="3"/>
  <c r="BA562" i="3"/>
  <c r="BA558" i="3"/>
  <c r="BA556" i="3"/>
  <c r="BA554" i="3"/>
  <c r="BA532" i="3"/>
  <c r="BA528" i="3"/>
  <c r="BA524" i="3"/>
  <c r="BA516" i="3"/>
  <c r="BA512" i="3"/>
  <c r="BA508" i="3"/>
  <c r="BA498" i="3"/>
  <c r="BA492" i="3"/>
  <c r="BA488" i="3"/>
  <c r="G566" i="3"/>
  <c r="G562" i="3"/>
  <c r="G558" i="3"/>
  <c r="G556" i="3"/>
  <c r="G554" i="3"/>
  <c r="BA542" i="3"/>
  <c r="AC542" i="3"/>
  <c r="G542" i="3" s="1"/>
  <c r="BQ542" i="3"/>
  <c r="BQ568" i="3"/>
  <c r="BL568" i="3" s="1"/>
  <c r="BQ566" i="3"/>
  <c r="BL566" i="3" s="1"/>
  <c r="BQ564" i="3"/>
  <c r="BL564" i="3" s="1"/>
  <c r="BQ562" i="3"/>
  <c r="BL562" i="3" s="1"/>
  <c r="BQ560" i="3"/>
  <c r="BL560" i="3" s="1"/>
  <c r="BQ558" i="3"/>
  <c r="BL558" i="3" s="1"/>
  <c r="BQ556" i="3"/>
  <c r="BL556" i="3" s="1"/>
  <c r="BQ554" i="3"/>
  <c r="BQ552" i="3"/>
  <c r="BL552" i="3" s="1"/>
  <c r="BQ550" i="3"/>
  <c r="BQ548" i="3"/>
  <c r="BQ546" i="3"/>
  <c r="BQ544" i="3"/>
  <c r="G538" i="3"/>
  <c r="G534" i="3"/>
  <c r="G530" i="3"/>
  <c r="G522" i="3"/>
  <c r="BQ540" i="3"/>
  <c r="BQ538" i="3"/>
  <c r="BQ536" i="3"/>
  <c r="BQ534" i="3"/>
  <c r="BL534" i="3" s="1"/>
  <c r="BQ532" i="3"/>
  <c r="BQ530" i="3"/>
  <c r="BQ528" i="3"/>
  <c r="BQ526" i="3"/>
  <c r="BL526" i="3" s="1"/>
  <c r="BQ524" i="3"/>
  <c r="BQ522" i="3"/>
  <c r="BQ520" i="3"/>
  <c r="BL520" i="3" s="1"/>
  <c r="BQ518" i="3"/>
  <c r="BQ516" i="3"/>
  <c r="BL516" i="3" s="1"/>
  <c r="BQ514" i="3"/>
  <c r="BL514" i="3" s="1"/>
  <c r="BQ512" i="3"/>
  <c r="BQ510" i="3"/>
  <c r="BL510" i="3"/>
  <c r="BQ508" i="3"/>
  <c r="BL508" i="3" s="1"/>
  <c r="AC506" i="3"/>
  <c r="G506" i="3"/>
  <c r="BQ506" i="3"/>
  <c r="G502" i="3"/>
  <c r="BQ504" i="3"/>
  <c r="BQ502" i="3"/>
  <c r="BL502" i="3" s="1"/>
  <c r="BQ500" i="3"/>
  <c r="BL500" i="3" s="1"/>
  <c r="BQ498" i="3"/>
  <c r="BQ496" i="3"/>
  <c r="BL496" i="3" s="1"/>
  <c r="AC494" i="3"/>
  <c r="G494" i="3" s="1"/>
  <c r="BQ494" i="3"/>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H28" i="34"/>
  <c r="AB28" i="34" s="1"/>
  <c r="F22" i="36"/>
  <c r="S22" i="36" s="1"/>
  <c r="H35" i="34"/>
  <c r="F41" i="34"/>
  <c r="H41" i="34"/>
  <c r="U41" i="34" s="1"/>
  <c r="J41" i="34"/>
  <c r="W41" i="34" s="1"/>
  <c r="F10" i="35"/>
  <c r="AA10" i="35" s="1"/>
  <c r="F24" i="35"/>
  <c r="AA24" i="35" s="1"/>
  <c r="H24" i="35"/>
  <c r="AB24" i="35" s="1"/>
  <c r="H23" i="37"/>
  <c r="U23" i="37" s="1"/>
  <c r="J32" i="37"/>
  <c r="AC32" i="37" s="1"/>
  <c r="F36" i="37"/>
  <c r="S36" i="37" s="1"/>
  <c r="F37" i="37"/>
  <c r="H42" i="33"/>
  <c r="U42" i="33" s="1"/>
  <c r="J43" i="33"/>
  <c r="AC43" i="33" s="1"/>
  <c r="J23" i="37"/>
  <c r="W23" i="37" s="1"/>
  <c r="F17" i="37"/>
  <c r="AA17" i="37" s="1"/>
  <c r="D3" i="21"/>
  <c r="AC12" i="35"/>
  <c r="U39" i="37"/>
  <c r="AC8" i="37"/>
  <c r="S25" i="37"/>
  <c r="AC36" i="34"/>
  <c r="AB8" i="34"/>
  <c r="AC37" i="33"/>
  <c r="F43" i="33"/>
  <c r="AA43" i="33" s="1"/>
  <c r="AA9" i="21"/>
  <c r="H19" i="34"/>
  <c r="AB19" i="34" s="1"/>
  <c r="J10" i="37"/>
  <c r="AC10" i="37" s="1"/>
  <c r="J9" i="37"/>
  <c r="W9" i="37" s="1"/>
  <c r="H9" i="37"/>
  <c r="U9" i="37" s="1"/>
  <c r="F9" i="37"/>
  <c r="S9" i="37" s="1"/>
  <c r="F11" i="37"/>
  <c r="S11" i="37" s="1"/>
  <c r="J12" i="37"/>
  <c r="AC12" i="37" s="1"/>
  <c r="H12" i="37"/>
  <c r="U12" i="37" s="1"/>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AZ328" i="3" s="1"/>
  <c r="BL329" i="3"/>
  <c r="G330" i="3"/>
  <c r="BA332" i="3"/>
  <c r="AZ332" i="3" s="1"/>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G368" i="3"/>
  <c r="BA370" i="3"/>
  <c r="BL371" i="3"/>
  <c r="G372" i="3"/>
  <c r="BA374" i="3"/>
  <c r="BL375" i="3"/>
  <c r="G376" i="3"/>
  <c r="BA378" i="3"/>
  <c r="AZ378" i="3" s="1"/>
  <c r="BL379" i="3"/>
  <c r="G380" i="3"/>
  <c r="BA382" i="3"/>
  <c r="BL383" i="3"/>
  <c r="G384" i="3"/>
  <c r="AZ347" i="3"/>
  <c r="F37" i="46"/>
  <c r="AA13" i="40"/>
  <c r="F77" i="40"/>
  <c r="G77" i="40" s="1"/>
  <c r="H77" i="40" s="1"/>
  <c r="I77" i="40" s="1"/>
  <c r="J77" i="40" s="1"/>
  <c r="K77" i="40" s="1"/>
  <c r="L77" i="40" s="1"/>
  <c r="M77" i="40" s="1"/>
  <c r="D3" i="35"/>
  <c r="G4" i="4"/>
  <c r="S37" i="34"/>
  <c r="J16" i="35"/>
  <c r="W16" i="35" s="1"/>
  <c r="H13" i="39"/>
  <c r="AB13" i="39" s="1"/>
  <c r="F13" i="39"/>
  <c r="S13" i="39" s="1"/>
  <c r="J13" i="39"/>
  <c r="AC13" i="39" s="1"/>
  <c r="H11" i="37"/>
  <c r="AB11" i="37" s="1"/>
  <c r="W37" i="37"/>
  <c r="AA30" i="33"/>
  <c r="U32" i="33"/>
  <c r="AB17" i="37"/>
  <c r="AC11" i="36"/>
  <c r="AC14" i="37"/>
  <c r="AB35" i="35"/>
  <c r="AC30" i="33"/>
  <c r="AC29" i="37"/>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S35" i="33" s="1"/>
  <c r="AB39" i="34"/>
  <c r="F11" i="34"/>
  <c r="S11" i="34"/>
  <c r="H17" i="34"/>
  <c r="AB17" i="34" s="1"/>
  <c r="U28" i="35"/>
  <c r="J13" i="33"/>
  <c r="W13" i="33" s="1"/>
  <c r="H13" i="33"/>
  <c r="U13" i="33" s="1"/>
  <c r="F29" i="33"/>
  <c r="AA29" i="33" s="1"/>
  <c r="J14" i="34"/>
  <c r="W14" i="34" s="1"/>
  <c r="F14" i="34"/>
  <c r="H14" i="34"/>
  <c r="AB14" i="34" s="1"/>
  <c r="J30" i="34"/>
  <c r="W30" i="34" s="1"/>
  <c r="H32" i="34"/>
  <c r="AB32" i="34"/>
  <c r="F32" i="34"/>
  <c r="J32" i="34"/>
  <c r="W32" i="34" s="1"/>
  <c r="H11" i="35"/>
  <c r="J11" i="35"/>
  <c r="AC11" i="35" s="1"/>
  <c r="F96" i="37"/>
  <c r="G96" i="37" s="1"/>
  <c r="H96" i="37" s="1"/>
  <c r="I96" i="37" s="1"/>
  <c r="J96" i="37" s="1"/>
  <c r="K96" i="37" s="1"/>
  <c r="L96" i="37" s="1"/>
  <c r="M96" i="37" s="1"/>
  <c r="H32" i="37"/>
  <c r="AB32" i="37" s="1"/>
  <c r="F19" i="39"/>
  <c r="S19" i="39" s="1"/>
  <c r="H19" i="39"/>
  <c r="AB19" i="39" s="1"/>
  <c r="J19" i="39"/>
  <c r="W19" i="39" s="1"/>
  <c r="F99" i="37"/>
  <c r="U25" i="35"/>
  <c r="U31" i="34"/>
  <c r="AC40" i="37"/>
  <c r="W40" i="37"/>
  <c r="AA44" i="34"/>
  <c r="AC19" i="33"/>
  <c r="U43" i="34"/>
  <c r="AB43" i="34"/>
  <c r="AC34" i="37"/>
  <c r="AA35" i="37"/>
  <c r="F42" i="21"/>
  <c r="AA42" i="21" s="1"/>
  <c r="AB40" i="33"/>
  <c r="U40" i="33"/>
  <c r="E90" i="34"/>
  <c r="F90" i="34" s="1"/>
  <c r="G90" i="34" s="1"/>
  <c r="H90" i="34" s="1"/>
  <c r="I90" i="34" s="1"/>
  <c r="J90" i="34" s="1"/>
  <c r="K90" i="34" s="1"/>
  <c r="L90" i="34" s="1"/>
  <c r="M90" i="34" s="1"/>
  <c r="E80" i="35"/>
  <c r="F80" i="35" s="1"/>
  <c r="G80" i="35" s="1"/>
  <c r="H80" i="35" s="1"/>
  <c r="I80" i="35" s="1"/>
  <c r="J80" i="35" s="1"/>
  <c r="K80" i="35" s="1"/>
  <c r="L80" i="35" s="1"/>
  <c r="M80" i="35" s="1"/>
  <c r="J32" i="35"/>
  <c r="AC32" i="35" s="1"/>
  <c r="H11" i="36"/>
  <c r="F11" i="36"/>
  <c r="S11" i="36" s="1"/>
  <c r="F26" i="36"/>
  <c r="S26" i="36" s="1"/>
  <c r="U34" i="36"/>
  <c r="AB34" i="36"/>
  <c r="H33" i="36"/>
  <c r="U33" i="36" s="1"/>
  <c r="F33" i="36"/>
  <c r="AA33" i="36" s="1"/>
  <c r="H27" i="36"/>
  <c r="AA31" i="36"/>
  <c r="W26" i="37"/>
  <c r="AB29" i="37"/>
  <c r="AA30" i="37"/>
  <c r="AC30" i="37"/>
  <c r="AC31" i="37"/>
  <c r="W31" i="37"/>
  <c r="AB14" i="37"/>
  <c r="F17" i="39"/>
  <c r="AA17" i="39" s="1"/>
  <c r="H17" i="39"/>
  <c r="U17" i="39" s="1"/>
  <c r="J17" i="39"/>
  <c r="W17" i="39" s="1"/>
  <c r="F21" i="39"/>
  <c r="S21" i="39" s="1"/>
  <c r="H21" i="39"/>
  <c r="AB21" i="39" s="1"/>
  <c r="J21" i="39"/>
  <c r="J33" i="39"/>
  <c r="AC33" i="39" s="1"/>
  <c r="F44" i="39"/>
  <c r="S44" i="39" s="1"/>
  <c r="H44" i="39"/>
  <c r="U44" i="39" s="1"/>
  <c r="J44" i="39"/>
  <c r="W44" i="39" s="1"/>
  <c r="F46" i="39"/>
  <c r="S46" i="39" s="1"/>
  <c r="E102" i="39"/>
  <c r="F102" i="39" s="1"/>
  <c r="G102" i="39" s="1"/>
  <c r="F34" i="39"/>
  <c r="AA34" i="39" s="1"/>
  <c r="H34" i="39"/>
  <c r="AB34" i="39" s="1"/>
  <c r="J34" i="39"/>
  <c r="W30" i="36"/>
  <c r="AC30" i="36"/>
  <c r="F37" i="39"/>
  <c r="S37" i="39" s="1"/>
  <c r="H37" i="39"/>
  <c r="AB37" i="39" s="1"/>
  <c r="U37" i="39"/>
  <c r="J37" i="39"/>
  <c r="BA568" i="3"/>
  <c r="BL567" i="3"/>
  <c r="BA567" i="3"/>
  <c r="BL565" i="3"/>
  <c r="AZ565" i="3" s="1"/>
  <c r="BA564" i="3"/>
  <c r="AZ564" i="3" s="1"/>
  <c r="BA563" i="3"/>
  <c r="BL554" i="3"/>
  <c r="BA553" i="3"/>
  <c r="BA552" i="3"/>
  <c r="AZ552" i="3" s="1"/>
  <c r="BL549" i="3"/>
  <c r="BA539" i="3"/>
  <c r="BA538" i="3"/>
  <c r="BA537" i="3"/>
  <c r="BA535" i="3"/>
  <c r="BL530" i="3"/>
  <c r="BL529" i="3"/>
  <c r="BA529" i="3"/>
  <c r="AZ529" i="3" s="1"/>
  <c r="BL528" i="3"/>
  <c r="AZ528" i="3" s="1"/>
  <c r="BA526" i="3"/>
  <c r="BA525" i="3"/>
  <c r="AZ525" i="3" s="1"/>
  <c r="BA523" i="3"/>
  <c r="BL522" i="3"/>
  <c r="BA522" i="3"/>
  <c r="BA519" i="3"/>
  <c r="AZ519" i="3"/>
  <c r="BL518" i="3"/>
  <c r="BL517" i="3"/>
  <c r="AZ517" i="3" s="1"/>
  <c r="BA517" i="3"/>
  <c r="BA515" i="3"/>
  <c r="BA514" i="3"/>
  <c r="BL513" i="3"/>
  <c r="BL512" i="3"/>
  <c r="BA511" i="3"/>
  <c r="AZ511" i="3" s="1"/>
  <c r="BA510" i="3"/>
  <c r="AZ510" i="3" s="1"/>
  <c r="BL507" i="3"/>
  <c r="AZ507" i="3" s="1"/>
  <c r="BA507" i="3"/>
  <c r="BA506" i="3"/>
  <c r="BL505" i="3"/>
  <c r="BL504" i="3"/>
  <c r="BA503" i="3"/>
  <c r="BA500" i="3"/>
  <c r="AZ500" i="3" s="1"/>
  <c r="BL499" i="3"/>
  <c r="BL498" i="3"/>
  <c r="AZ498" i="3"/>
  <c r="BL497" i="3"/>
  <c r="BA496" i="3"/>
  <c r="BA495" i="3"/>
  <c r="AZ495" i="3" s="1"/>
  <c r="BA494" i="3"/>
  <c r="BL490" i="3"/>
  <c r="BA490" i="3"/>
  <c r="BA481" i="3"/>
  <c r="H38" i="34"/>
  <c r="H30" i="40"/>
  <c r="AB30" i="40" s="1"/>
  <c r="G99" i="40"/>
  <c r="H99" i="40" s="1"/>
  <c r="I99" i="40" s="1"/>
  <c r="J99" i="40" s="1"/>
  <c r="K99" i="40" s="1"/>
  <c r="L99" i="40" s="1"/>
  <c r="M99" i="40" s="1"/>
  <c r="J30" i="40"/>
  <c r="F38" i="40"/>
  <c r="AA38" i="40" s="1"/>
  <c r="AA36" i="34"/>
  <c r="AB33" i="21"/>
  <c r="AB10" i="21"/>
  <c r="AB8" i="21"/>
  <c r="AC36" i="21"/>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E72" i="35"/>
  <c r="F72" i="35" s="1"/>
  <c r="G72" i="35" s="1"/>
  <c r="H22" i="35"/>
  <c r="AB22" i="35" s="1"/>
  <c r="H23" i="35"/>
  <c r="AB36" i="35"/>
  <c r="U36" i="35"/>
  <c r="U31" i="36"/>
  <c r="S8" i="37"/>
  <c r="AA8" i="37"/>
  <c r="F16" i="39"/>
  <c r="AA16" i="39" s="1"/>
  <c r="H16" i="39"/>
  <c r="U16" i="39" s="1"/>
  <c r="J16" i="39"/>
  <c r="E96" i="39"/>
  <c r="F27" i="39"/>
  <c r="AA27" i="39" s="1"/>
  <c r="F15" i="40"/>
  <c r="AA15" i="40" s="1"/>
  <c r="J15" i="40"/>
  <c r="H15" i="40"/>
  <c r="E91" i="40"/>
  <c r="F91" i="40" s="1"/>
  <c r="G91" i="40" s="1"/>
  <c r="H23" i="40"/>
  <c r="U23" i="40" s="1"/>
  <c r="H41" i="40"/>
  <c r="U41" i="40" s="1"/>
  <c r="AB41" i="40"/>
  <c r="F41" i="40"/>
  <c r="AA41" i="40" s="1"/>
  <c r="J41" i="40"/>
  <c r="AC41" i="40" s="1"/>
  <c r="H36" i="33"/>
  <c r="H37" i="34"/>
  <c r="U37" i="34" s="1"/>
  <c r="H25" i="39"/>
  <c r="U25" i="39" s="1"/>
  <c r="J25" i="39"/>
  <c r="AC25" i="39" s="1"/>
  <c r="F25" i="39"/>
  <c r="AA25" i="39" s="1"/>
  <c r="F45" i="39"/>
  <c r="AA45" i="39" s="1"/>
  <c r="H45" i="39"/>
  <c r="U45" i="39" s="1"/>
  <c r="J45" i="39"/>
  <c r="F41" i="39"/>
  <c r="H41" i="39"/>
  <c r="J41" i="39"/>
  <c r="AC41" i="39" s="1"/>
  <c r="J25" i="40"/>
  <c r="AC25" i="40" s="1"/>
  <c r="J32" i="40"/>
  <c r="H32" i="40"/>
  <c r="U32" i="40" s="1"/>
  <c r="H33" i="40"/>
  <c r="AB33" i="40" s="1"/>
  <c r="F33" i="40"/>
  <c r="AA33" i="40" s="1"/>
  <c r="J33" i="40"/>
  <c r="H35" i="40"/>
  <c r="F35" i="40"/>
  <c r="AA35" i="40" s="1"/>
  <c r="J35" i="40"/>
  <c r="AC35" i="40" s="1"/>
  <c r="J38" i="39"/>
  <c r="H38" i="39"/>
  <c r="J16" i="40"/>
  <c r="W16" i="40" s="1"/>
  <c r="H42" i="40"/>
  <c r="H40" i="40"/>
  <c r="H34" i="40"/>
  <c r="U34" i="40" s="1"/>
  <c r="B41" i="1"/>
  <c r="J42" i="40"/>
  <c r="J40" i="40"/>
  <c r="W40" i="40" s="1"/>
  <c r="J34" i="40"/>
  <c r="AC34" i="40" s="1"/>
  <c r="H16" i="40"/>
  <c r="AB16" i="40" s="1"/>
  <c r="F32" i="40"/>
  <c r="S32" i="40" s="1"/>
  <c r="AA32" i="40"/>
  <c r="F61" i="46"/>
  <c r="H61" i="46" s="1"/>
  <c r="F72" i="46"/>
  <c r="H74" i="46" s="1"/>
  <c r="J13" i="40"/>
  <c r="W13" i="40" s="1"/>
  <c r="W41" i="40"/>
  <c r="J23" i="40"/>
  <c r="AC23" i="40" s="1"/>
  <c r="F23" i="40"/>
  <c r="AB16" i="39"/>
  <c r="H15" i="34"/>
  <c r="U15" i="34" s="1"/>
  <c r="J15" i="34"/>
  <c r="AC15" i="34" s="1"/>
  <c r="H41" i="33"/>
  <c r="F30" i="40"/>
  <c r="AA30" i="40" s="1"/>
  <c r="G99" i="37"/>
  <c r="H99" i="37" s="1"/>
  <c r="I99" i="37" s="1"/>
  <c r="J99" i="37" s="1"/>
  <c r="K99" i="37" s="1"/>
  <c r="L99" i="37" s="1"/>
  <c r="M99" i="37" s="1"/>
  <c r="F33" i="37"/>
  <c r="AA11" i="34"/>
  <c r="H15" i="33"/>
  <c r="U15" i="33" s="1"/>
  <c r="H25" i="40"/>
  <c r="F93" i="40"/>
  <c r="G93" i="40" s="1"/>
  <c r="J37" i="34"/>
  <c r="J36" i="33"/>
  <c r="W36" i="33" s="1"/>
  <c r="S41" i="40"/>
  <c r="AA15" i="34"/>
  <c r="J34" i="33"/>
  <c r="AC34" i="33" s="1"/>
  <c r="U30" i="40"/>
  <c r="AA37" i="39"/>
  <c r="U34" i="39"/>
  <c r="F27" i="34"/>
  <c r="F32" i="37"/>
  <c r="S32" i="37" s="1"/>
  <c r="U32" i="34"/>
  <c r="U12" i="34"/>
  <c r="AB13" i="33"/>
  <c r="F17" i="34"/>
  <c r="AA17" i="34" s="1"/>
  <c r="J17" i="34"/>
  <c r="H11" i="34"/>
  <c r="AB11" i="34" s="1"/>
  <c r="J35" i="33"/>
  <c r="W35" i="33" s="1"/>
  <c r="H11" i="33"/>
  <c r="U11" i="33" s="1"/>
  <c r="H10" i="33"/>
  <c r="U10" i="33" s="1"/>
  <c r="J10" i="33"/>
  <c r="W10" i="33" s="1"/>
  <c r="AC13" i="40"/>
  <c r="J11" i="34"/>
  <c r="W11" i="34" s="1"/>
  <c r="F25" i="40"/>
  <c r="AA25" i="40" s="1"/>
  <c r="J11" i="33"/>
  <c r="H33" i="37"/>
  <c r="B11" i="1"/>
  <c r="E11" i="1" s="1"/>
  <c r="K11" i="1"/>
  <c r="M11" i="1" s="1"/>
  <c r="B9" i="1"/>
  <c r="E9" i="1" s="1"/>
  <c r="K9" i="1"/>
  <c r="M9" i="1" s="1"/>
  <c r="B7" i="1"/>
  <c r="E7" i="1" s="1"/>
  <c r="K7" i="1"/>
  <c r="M7" i="1" s="1"/>
  <c r="AP6" i="1"/>
  <c r="AC25" i="36"/>
  <c r="S8" i="36"/>
  <c r="U25" i="36"/>
  <c r="F62" i="36"/>
  <c r="G62" i="36" s="1"/>
  <c r="J14" i="36"/>
  <c r="AC14" i="36" s="1"/>
  <c r="H14" i="36"/>
  <c r="F14" i="36"/>
  <c r="AA14" i="36" s="1"/>
  <c r="U32" i="36"/>
  <c r="AA27" i="36"/>
  <c r="AA13" i="35"/>
  <c r="S8" i="35"/>
  <c r="U9" i="35"/>
  <c r="AC18" i="35"/>
  <c r="W18" i="35"/>
  <c r="S30" i="35"/>
  <c r="AA35" i="35"/>
  <c r="AB30" i="35"/>
  <c r="S28" i="35"/>
  <c r="J26" i="35"/>
  <c r="W26" i="35" s="1"/>
  <c r="F26" i="35"/>
  <c r="S26" i="35" s="1"/>
  <c r="H26" i="35"/>
  <c r="U26" i="35" s="1"/>
  <c r="AB9" i="37"/>
  <c r="AA9" i="37"/>
  <c r="AA31" i="37"/>
  <c r="U32" i="37"/>
  <c r="AA32" i="37"/>
  <c r="J33" i="37"/>
  <c r="W33" i="37" s="1"/>
  <c r="J19" i="37"/>
  <c r="G75" i="37"/>
  <c r="F19" i="37"/>
  <c r="AA19" i="37" s="1"/>
  <c r="H19" i="37"/>
  <c r="U19" i="37" s="1"/>
  <c r="J17" i="37"/>
  <c r="S15" i="37"/>
  <c r="AC21" i="37"/>
  <c r="W21" i="37"/>
  <c r="AC11" i="37"/>
  <c r="W32" i="37"/>
  <c r="U8" i="37"/>
  <c r="AB21" i="37"/>
  <c r="U21" i="37"/>
  <c r="AA11" i="37"/>
  <c r="W46" i="34"/>
  <c r="AC45" i="34"/>
  <c r="AA40" i="34"/>
  <c r="U30" i="34"/>
  <c r="AC35" i="34"/>
  <c r="U44" i="34"/>
  <c r="U34" i="34"/>
  <c r="J25" i="34"/>
  <c r="W25" i="34" s="1"/>
  <c r="H25" i="34"/>
  <c r="F25" i="34"/>
  <c r="S25" i="34" s="1"/>
  <c r="J23" i="34"/>
  <c r="AC23" i="34" s="1"/>
  <c r="F86" i="34"/>
  <c r="G86" i="34" s="1"/>
  <c r="F23" i="34"/>
  <c r="H23" i="34"/>
  <c r="AB23" i="34" s="1"/>
  <c r="AC11" i="34"/>
  <c r="U11" i="34"/>
  <c r="AC21" i="34"/>
  <c r="W21" i="34"/>
  <c r="AB21" i="34"/>
  <c r="U21" i="34"/>
  <c r="U19" i="34"/>
  <c r="U37" i="33"/>
  <c r="W34" i="33"/>
  <c r="AC35" i="33"/>
  <c r="W43" i="33"/>
  <c r="W39" i="33"/>
  <c r="H25" i="33"/>
  <c r="U25" i="33" s="1"/>
  <c r="J25" i="33"/>
  <c r="F25" i="33"/>
  <c r="J23" i="33"/>
  <c r="W23" i="33" s="1"/>
  <c r="F23" i="33"/>
  <c r="AA23" i="33" s="1"/>
  <c r="H23" i="33"/>
  <c r="AB23" i="33" s="1"/>
  <c r="U19" i="33"/>
  <c r="F17" i="33"/>
  <c r="S17" i="33" s="1"/>
  <c r="H17" i="33"/>
  <c r="U17" i="33" s="1"/>
  <c r="J17" i="33"/>
  <c r="AC21" i="33"/>
  <c r="W21" i="33"/>
  <c r="AB21" i="33"/>
  <c r="U21" i="33"/>
  <c r="AA21" i="33"/>
  <c r="S21" i="33"/>
  <c r="W28" i="21"/>
  <c r="AC21" i="21"/>
  <c r="W21" i="21"/>
  <c r="AB21" i="21"/>
  <c r="AB29" i="21"/>
  <c r="U33" i="40"/>
  <c r="S35" i="40"/>
  <c r="S15" i="40"/>
  <c r="AB13" i="40"/>
  <c r="S16" i="40"/>
  <c r="W11" i="40"/>
  <c r="AA21" i="40"/>
  <c r="U21" i="40"/>
  <c r="F37" i="40"/>
  <c r="AA37" i="40" s="1"/>
  <c r="J37" i="40"/>
  <c r="AC37" i="40" s="1"/>
  <c r="H37" i="40"/>
  <c r="AB37" i="40" s="1"/>
  <c r="G112" i="40"/>
  <c r="H112" i="40" s="1"/>
  <c r="I112" i="40" s="1"/>
  <c r="J112" i="40" s="1"/>
  <c r="K112" i="40" s="1"/>
  <c r="L112" i="40" s="1"/>
  <c r="M112" i="40" s="1"/>
  <c r="F39" i="40"/>
  <c r="AA39" i="40" s="1"/>
  <c r="H39" i="40"/>
  <c r="U39" i="40" s="1"/>
  <c r="J39" i="40"/>
  <c r="W39" i="40" s="1"/>
  <c r="W38" i="40"/>
  <c r="F29" i="40"/>
  <c r="J29" i="40"/>
  <c r="S30" i="40"/>
  <c r="F87" i="40"/>
  <c r="G87" i="40" s="1"/>
  <c r="F19" i="40"/>
  <c r="AA19" i="40" s="1"/>
  <c r="H19" i="40"/>
  <c r="U19" i="40" s="1"/>
  <c r="J19" i="40"/>
  <c r="AC19" i="40" s="1"/>
  <c r="W17" i="40"/>
  <c r="F17" i="40"/>
  <c r="AA17" i="40" s="1"/>
  <c r="H17" i="40"/>
  <c r="U17" i="40" s="1"/>
  <c r="W21" i="40"/>
  <c r="U10" i="40"/>
  <c r="U27" i="40"/>
  <c r="AB27" i="40"/>
  <c r="S11" i="39"/>
  <c r="AB45" i="39"/>
  <c r="AA21" i="39"/>
  <c r="U31" i="39"/>
  <c r="AB31" i="39"/>
  <c r="S38" i="39"/>
  <c r="D96" i="9"/>
  <c r="A18" i="64"/>
  <c r="B74" i="63" s="1"/>
  <c r="C53" i="10"/>
  <c r="A25" i="64" s="1"/>
  <c r="A18" i="51"/>
  <c r="B14" i="63" s="1"/>
  <c r="BA16" i="3"/>
  <c r="BA17" i="3"/>
  <c r="AZ17" i="3" s="1"/>
  <c r="BL16" i="3"/>
  <c r="AZ16" i="3" s="1"/>
  <c r="G28" i="12"/>
  <c r="F50" i="46"/>
  <c r="H52" i="46" s="1"/>
  <c r="C6" i="46"/>
  <c r="I5" i="48"/>
  <c r="K21" i="46"/>
  <c r="F42" i="46"/>
  <c r="D74" i="46"/>
  <c r="D87" i="46"/>
  <c r="D72" i="46"/>
  <c r="A4" i="64"/>
  <c r="A4" i="51"/>
  <c r="B6" i="63" s="1"/>
  <c r="C51" i="10"/>
  <c r="A9" i="64" s="1"/>
  <c r="H83" i="46"/>
  <c r="H87" i="46"/>
  <c r="AA12" i="36"/>
  <c r="U12" i="35"/>
  <c r="AB12" i="35"/>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S25" i="36"/>
  <c r="U23" i="36"/>
  <c r="AC27" i="36"/>
  <c r="AA32" i="36"/>
  <c r="W8" i="36"/>
  <c r="AC30" i="35"/>
  <c r="U24" i="35"/>
  <c r="W22" i="35"/>
  <c r="W35" i="37"/>
  <c r="AC33" i="37"/>
  <c r="AA13" i="37"/>
  <c r="S12" i="37"/>
  <c r="W38" i="37"/>
  <c r="S28" i="37"/>
  <c r="W13" i="37"/>
  <c r="W47" i="34"/>
  <c r="AB47" i="34"/>
  <c r="AB13" i="34"/>
  <c r="AC13" i="34"/>
  <c r="AA29" i="34"/>
  <c r="S19" i="34"/>
  <c r="AA19" i="33"/>
  <c r="S43" i="33"/>
  <c r="AB42" i="33"/>
  <c r="S15" i="33"/>
  <c r="W25" i="21"/>
  <c r="AC27" i="21"/>
  <c r="W29" i="21"/>
  <c r="G95" i="40"/>
  <c r="J27" i="40"/>
  <c r="W27" i="40" s="1"/>
  <c r="W37" i="40"/>
  <c r="S34" i="40"/>
  <c r="U38" i="40"/>
  <c r="S40" i="40"/>
  <c r="S42" i="40"/>
  <c r="G104" i="39"/>
  <c r="J31" i="39"/>
  <c r="W31" i="39" s="1"/>
  <c r="S34" i="39"/>
  <c r="W42" i="39"/>
  <c r="W36" i="39"/>
  <c r="W10" i="39"/>
  <c r="W11" i="39"/>
  <c r="U42" i="39"/>
  <c r="C27" i="39"/>
  <c r="C17" i="40"/>
  <c r="C19" i="40"/>
  <c r="C17" i="39"/>
  <c r="C23" i="40"/>
  <c r="B51" i="46"/>
  <c r="B58" i="46"/>
  <c r="B62" i="46"/>
  <c r="B69" i="46"/>
  <c r="D24" i="15"/>
  <c r="AB19" i="37"/>
  <c r="U25" i="34"/>
  <c r="AB25" i="34"/>
  <c r="AA25" i="34"/>
  <c r="U23" i="34"/>
  <c r="AA23" i="34"/>
  <c r="S23" i="34"/>
  <c r="W23" i="34"/>
  <c r="AC23" i="33"/>
  <c r="AA17" i="33"/>
  <c r="AB17" i="33"/>
  <c r="AB39" i="40"/>
  <c r="S39" i="40"/>
  <c r="U37" i="40"/>
  <c r="AB29" i="40"/>
  <c r="S19" i="40"/>
  <c r="AB19" i="40"/>
  <c r="AT6" i="3"/>
  <c r="E4" i="4"/>
  <c r="B21" i="55" s="1"/>
  <c r="B72" i="63" s="1"/>
  <c r="C4" i="4"/>
  <c r="B20" i="55" s="1"/>
  <c r="B70" i="63" s="1"/>
  <c r="J18" i="36"/>
  <c r="AC18" i="36" s="1"/>
  <c r="L20" i="6"/>
  <c r="C45" i="9"/>
  <c r="B7" i="66" s="1"/>
  <c r="N76" i="9"/>
  <c r="C46" i="9"/>
  <c r="O41" i="9" s="1"/>
  <c r="R8" i="54" s="1"/>
  <c r="B54" i="63" s="1"/>
  <c r="B8" i="66"/>
  <c r="J21" i="46"/>
  <c r="F38" i="46"/>
  <c r="F41" i="46"/>
  <c r="F40" i="46"/>
  <c r="H117" i="46"/>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B8" i="67"/>
  <c r="B9" i="67"/>
  <c r="E11" i="67"/>
  <c r="N6" i="65"/>
  <c r="E14" i="67"/>
  <c r="B14" i="67"/>
  <c r="F14" i="67"/>
  <c r="E13" i="67"/>
  <c r="E10" i="67"/>
  <c r="F11" i="67"/>
  <c r="B13" i="67"/>
  <c r="B12" i="67"/>
  <c r="N5" i="65"/>
  <c r="B10" i="67"/>
  <c r="N4" i="65"/>
  <c r="F12" i="67"/>
  <c r="E8" i="67"/>
  <c r="F10" i="67"/>
  <c r="F13" i="67"/>
  <c r="E9" i="67"/>
  <c r="F8" i="67"/>
  <c r="F9" i="67"/>
  <c r="E12" i="67"/>
  <c r="B11" i="67"/>
  <c r="N3" i="65"/>
  <c r="N7" i="65"/>
  <c r="AA33" i="39" l="1"/>
  <c r="S33" i="39"/>
  <c r="AC14" i="21"/>
  <c r="W14" i="21"/>
  <c r="C24" i="59"/>
  <c r="T25" i="59"/>
  <c r="A17" i="51"/>
  <c r="B13" i="63" s="1"/>
  <c r="W19" i="40"/>
  <c r="AC39" i="40"/>
  <c r="S23" i="33"/>
  <c r="AB25" i="33"/>
  <c r="W33" i="34"/>
  <c r="AB37" i="37"/>
  <c r="S16" i="36"/>
  <c r="AB34" i="40"/>
  <c r="H14" i="39"/>
  <c r="U8" i="33"/>
  <c r="S35" i="21"/>
  <c r="AZ503" i="3"/>
  <c r="J39" i="39"/>
  <c r="F29" i="39"/>
  <c r="AA29" i="39" s="1"/>
  <c r="H33" i="39"/>
  <c r="AZ568" i="3"/>
  <c r="AB27" i="33"/>
  <c r="F27" i="33"/>
  <c r="S27" i="33" s="1"/>
  <c r="F30" i="21"/>
  <c r="H14" i="21"/>
  <c r="U14" i="21" s="1"/>
  <c r="W33" i="33"/>
  <c r="H9" i="36"/>
  <c r="AB9" i="36" s="1"/>
  <c r="B65" i="46"/>
  <c r="AA46" i="39"/>
  <c r="S45" i="39"/>
  <c r="S24" i="35"/>
  <c r="W9" i="36"/>
  <c r="S38" i="40"/>
  <c r="S14" i="40"/>
  <c r="S29" i="33"/>
  <c r="U35" i="37"/>
  <c r="W33" i="39"/>
  <c r="AA41" i="33"/>
  <c r="J29" i="39"/>
  <c r="AC29" i="39" s="1"/>
  <c r="AC40" i="40"/>
  <c r="J14" i="40"/>
  <c r="F14" i="39"/>
  <c r="H39" i="39"/>
  <c r="J46" i="39"/>
  <c r="AA45" i="33"/>
  <c r="AZ297" i="3"/>
  <c r="AZ365" i="3"/>
  <c r="AZ358" i="3"/>
  <c r="AZ354" i="3"/>
  <c r="AZ298" i="3"/>
  <c r="AZ361" i="3"/>
  <c r="AB12" i="37"/>
  <c r="AA13" i="33"/>
  <c r="AZ562" i="3"/>
  <c r="J27" i="33"/>
  <c r="AC27" i="33" s="1"/>
  <c r="F46" i="21"/>
  <c r="F14" i="21"/>
  <c r="AA14" i="21" s="1"/>
  <c r="S38" i="33"/>
  <c r="J9" i="21"/>
  <c r="AC9" i="21" s="1"/>
  <c r="G570" i="3"/>
  <c r="BL571" i="3"/>
  <c r="BO5" i="3"/>
  <c r="BJ5" i="3"/>
  <c r="H25" i="37"/>
  <c r="J25" i="37"/>
  <c r="C44" i="59"/>
  <c r="C45" i="59" s="1"/>
  <c r="D43" i="59"/>
  <c r="AC25" i="34"/>
  <c r="S8" i="34"/>
  <c r="AA36" i="33"/>
  <c r="U35" i="33"/>
  <c r="W19" i="34"/>
  <c r="W12" i="37"/>
  <c r="U11" i="37"/>
  <c r="AB37" i="34"/>
  <c r="H14" i="40"/>
  <c r="U14" i="40" s="1"/>
  <c r="AZ490" i="3"/>
  <c r="H29" i="39"/>
  <c r="U29" i="39" s="1"/>
  <c r="S46" i="33"/>
  <c r="H12" i="36"/>
  <c r="U12" i="36" s="1"/>
  <c r="J12" i="36"/>
  <c r="BL551" i="3"/>
  <c r="BA551" i="3"/>
  <c r="BL548" i="3"/>
  <c r="BA548" i="3"/>
  <c r="BL547" i="3"/>
  <c r="BA546" i="3"/>
  <c r="BL543" i="3"/>
  <c r="BA540" i="3"/>
  <c r="BA489" i="3"/>
  <c r="BL486" i="3"/>
  <c r="BA485" i="3"/>
  <c r="BL483" i="3"/>
  <c r="BA20" i="3"/>
  <c r="BA19" i="3"/>
  <c r="BL539" i="3"/>
  <c r="BL537" i="3"/>
  <c r="BL535" i="3"/>
  <c r="AZ535" i="3" s="1"/>
  <c r="G535" i="3"/>
  <c r="BA534" i="3"/>
  <c r="BL531" i="3"/>
  <c r="G520" i="3"/>
  <c r="G512" i="3"/>
  <c r="G505" i="3"/>
  <c r="G389" i="3"/>
  <c r="G418" i="3"/>
  <c r="G430" i="3"/>
  <c r="G438" i="3"/>
  <c r="G442" i="3"/>
  <c r="G443" i="3"/>
  <c r="BL446" i="3"/>
  <c r="G447" i="3"/>
  <c r="G450" i="3"/>
  <c r="G451" i="3"/>
  <c r="G455" i="3"/>
  <c r="G458" i="3"/>
  <c r="G459" i="3"/>
  <c r="BL461" i="3"/>
  <c r="BA297" i="3"/>
  <c r="BA311" i="3"/>
  <c r="AZ311" i="3" s="1"/>
  <c r="G349" i="3"/>
  <c r="G206" i="3"/>
  <c r="BL206" i="3"/>
  <c r="G209" i="3"/>
  <c r="G214" i="3"/>
  <c r="G217" i="3"/>
  <c r="G221" i="3"/>
  <c r="BA235" i="3"/>
  <c r="BA243" i="3"/>
  <c r="G267" i="3"/>
  <c r="G279" i="3"/>
  <c r="G295" i="3"/>
  <c r="G127" i="3"/>
  <c r="G143" i="3"/>
  <c r="BA168" i="3"/>
  <c r="BA172" i="3"/>
  <c r="BA174" i="3"/>
  <c r="AZ174" i="3" s="1"/>
  <c r="G65" i="3"/>
  <c r="G68" i="3"/>
  <c r="G76" i="3"/>
  <c r="G81" i="3"/>
  <c r="G90" i="3"/>
  <c r="BA100" i="3"/>
  <c r="G103" i="3"/>
  <c r="G106" i="3"/>
  <c r="G107" i="3"/>
  <c r="BA107" i="3"/>
  <c r="BL109" i="3"/>
  <c r="BL111" i="3"/>
  <c r="BA112" i="3"/>
  <c r="G1" i="44"/>
  <c r="C88" i="59"/>
  <c r="C80" i="59"/>
  <c r="B64" i="59"/>
  <c r="B65" i="59" s="1"/>
  <c r="S65" i="59" s="1"/>
  <c r="BA260" i="3"/>
  <c r="BL260" i="3"/>
  <c r="BA263" i="3"/>
  <c r="BA283" i="3"/>
  <c r="BL285" i="3"/>
  <c r="BA287" i="3"/>
  <c r="BL289" i="3"/>
  <c r="BA291" i="3"/>
  <c r="BA292" i="3"/>
  <c r="BA23" i="3"/>
  <c r="BA43" i="3"/>
  <c r="BA47" i="3"/>
  <c r="BA51" i="3"/>
  <c r="A26" i="64"/>
  <c r="G555" i="3"/>
  <c r="G533" i="3"/>
  <c r="G518" i="3"/>
  <c r="G508" i="3"/>
  <c r="G444" i="3"/>
  <c r="G448" i="3"/>
  <c r="G456" i="3"/>
  <c r="G466" i="3"/>
  <c r="BL472" i="3"/>
  <c r="G473" i="3"/>
  <c r="G477" i="3"/>
  <c r="G363" i="3"/>
  <c r="G367" i="3"/>
  <c r="G379" i="3"/>
  <c r="G383" i="3"/>
  <c r="BA388" i="3"/>
  <c r="G207" i="3"/>
  <c r="BA212" i="3"/>
  <c r="G215" i="3"/>
  <c r="BA224" i="3"/>
  <c r="G228" i="3"/>
  <c r="G240" i="3"/>
  <c r="BL247" i="3"/>
  <c r="G248" i="3"/>
  <c r="G265" i="3"/>
  <c r="G270" i="3"/>
  <c r="G273" i="3"/>
  <c r="G274" i="3"/>
  <c r="BL277" i="3"/>
  <c r="G278" i="3"/>
  <c r="G281" i="3"/>
  <c r="G293" i="3"/>
  <c r="G294" i="3"/>
  <c r="G113" i="3"/>
  <c r="G114" i="3"/>
  <c r="G117" i="3"/>
  <c r="BL121" i="3"/>
  <c r="G122" i="3"/>
  <c r="G129" i="3"/>
  <c r="G130" i="3"/>
  <c r="G137" i="3"/>
  <c r="BL144" i="3"/>
  <c r="G145" i="3"/>
  <c r="BL152" i="3"/>
  <c r="BL160" i="3"/>
  <c r="G189" i="3"/>
  <c r="G193" i="3"/>
  <c r="G197" i="3"/>
  <c r="G201" i="3"/>
  <c r="BA27" i="3"/>
  <c r="BA39" i="3"/>
  <c r="G54" i="3"/>
  <c r="G93" i="3"/>
  <c r="G96" i="3"/>
  <c r="D73" i="59"/>
  <c r="C64" i="59"/>
  <c r="U73" i="59"/>
  <c r="AA32" i="34"/>
  <c r="S32" i="34"/>
  <c r="AA37" i="37"/>
  <c r="S37" i="37"/>
  <c r="AB27" i="21"/>
  <c r="U27" i="21"/>
  <c r="AA35" i="34"/>
  <c r="S35" i="34"/>
  <c r="F70" i="35"/>
  <c r="G70" i="35" s="1"/>
  <c r="H20" i="35"/>
  <c r="AB20" i="35" s="1"/>
  <c r="J20" i="35"/>
  <c r="AC20" i="35" s="1"/>
  <c r="F20" i="35"/>
  <c r="S20" i="35" s="1"/>
  <c r="F15" i="39"/>
  <c r="J15" i="39"/>
  <c r="BA549" i="3"/>
  <c r="AZ549" i="3" s="1"/>
  <c r="BA547" i="3"/>
  <c r="AZ547" i="3" s="1"/>
  <c r="BA544" i="3"/>
  <c r="BA486" i="3"/>
  <c r="AZ486" i="3" s="1"/>
  <c r="BA484" i="3"/>
  <c r="BA483" i="3"/>
  <c r="AZ483" i="3" s="1"/>
  <c r="BA482" i="3"/>
  <c r="BB5" i="3"/>
  <c r="BN5" i="3"/>
  <c r="AC5" i="3"/>
  <c r="BR5" i="3"/>
  <c r="BL18" i="3"/>
  <c r="BA18" i="3"/>
  <c r="AZ18" i="3" s="1"/>
  <c r="AA25" i="33"/>
  <c r="S25" i="33"/>
  <c r="BA571" i="3"/>
  <c r="AZ571" i="3" s="1"/>
  <c r="U27" i="35"/>
  <c r="AB27" i="35"/>
  <c r="BA550" i="3"/>
  <c r="BC5" i="3"/>
  <c r="H15" i="39"/>
  <c r="AZ522" i="3"/>
  <c r="H27" i="34"/>
  <c r="W27" i="34"/>
  <c r="AZ324" i="3"/>
  <c r="AZ305" i="3"/>
  <c r="AZ363" i="3"/>
  <c r="BL542" i="3"/>
  <c r="AA14" i="37"/>
  <c r="S14" i="37"/>
  <c r="U28" i="37"/>
  <c r="AB28" i="37"/>
  <c r="AB13" i="37"/>
  <c r="U13" i="37"/>
  <c r="AB46" i="33"/>
  <c r="U46" i="33"/>
  <c r="AC13" i="21"/>
  <c r="W13" i="21"/>
  <c r="W37" i="39"/>
  <c r="AC37" i="39"/>
  <c r="S37" i="40"/>
  <c r="S39" i="39"/>
  <c r="AB23" i="40"/>
  <c r="S23" i="40"/>
  <c r="AA23" i="40"/>
  <c r="U38" i="34"/>
  <c r="AB38" i="34"/>
  <c r="U33" i="39"/>
  <c r="AB33" i="39"/>
  <c r="AB11" i="36"/>
  <c r="U11" i="36"/>
  <c r="U11" i="35"/>
  <c r="AB11" i="35"/>
  <c r="S14" i="34"/>
  <c r="AA14" i="34"/>
  <c r="AZ373" i="3"/>
  <c r="U15" i="37"/>
  <c r="AB15" i="37"/>
  <c r="S41" i="34"/>
  <c r="AA41" i="34"/>
  <c r="AA42" i="33"/>
  <c r="S42" i="33"/>
  <c r="U43" i="33"/>
  <c r="AB43" i="33"/>
  <c r="BL540" i="3"/>
  <c r="AZ540" i="3" s="1"/>
  <c r="AC36" i="37"/>
  <c r="W36" i="37"/>
  <c r="AC28" i="37"/>
  <c r="W28" i="37"/>
  <c r="S31" i="34"/>
  <c r="AA31" i="34"/>
  <c r="S29" i="21"/>
  <c r="AA29" i="21"/>
  <c r="U26" i="33"/>
  <c r="AB26" i="33"/>
  <c r="W30" i="21"/>
  <c r="AC30" i="21"/>
  <c r="BQ5" i="3"/>
  <c r="AC44" i="34"/>
  <c r="W44" i="34"/>
  <c r="W15" i="33"/>
  <c r="AC15" i="33"/>
  <c r="AC38" i="33"/>
  <c r="W38" i="33"/>
  <c r="F28" i="33"/>
  <c r="H28" i="33"/>
  <c r="J28" i="33"/>
  <c r="W28" i="33" s="1"/>
  <c r="AA32" i="35"/>
  <c r="S32" i="35"/>
  <c r="F14" i="33"/>
  <c r="H14" i="33"/>
  <c r="H44" i="33"/>
  <c r="AB44" i="33" s="1"/>
  <c r="F44" i="33"/>
  <c r="J44" i="33"/>
  <c r="AC44" i="33" s="1"/>
  <c r="AA23" i="36"/>
  <c r="S23" i="36"/>
  <c r="H13" i="36"/>
  <c r="J13" i="36"/>
  <c r="H27" i="37"/>
  <c r="F27" i="37"/>
  <c r="AA27" i="37" s="1"/>
  <c r="J27" i="37"/>
  <c r="H47" i="39"/>
  <c r="J47" i="39"/>
  <c r="W47" i="39" s="1"/>
  <c r="BL545" i="3"/>
  <c r="BA545" i="3"/>
  <c r="AZ545" i="3" s="1"/>
  <c r="BA543" i="3"/>
  <c r="BL487" i="3"/>
  <c r="BL485" i="3"/>
  <c r="AZ485" i="3" s="1"/>
  <c r="H72" i="46"/>
  <c r="K33" i="9"/>
  <c r="AA29" i="40"/>
  <c r="S29" i="40"/>
  <c r="W17" i="33"/>
  <c r="AC17" i="33"/>
  <c r="AB12" i="36"/>
  <c r="AB33" i="37"/>
  <c r="U33" i="37"/>
  <c r="W34" i="40"/>
  <c r="S33" i="37"/>
  <c r="AA33" i="37"/>
  <c r="AB15" i="34"/>
  <c r="AC42" i="40"/>
  <c r="W42" i="40"/>
  <c r="U40" i="40"/>
  <c r="AB40" i="40"/>
  <c r="U38" i="39"/>
  <c r="AB38" i="39"/>
  <c r="AB35" i="40"/>
  <c r="U35" i="40"/>
  <c r="H23" i="39"/>
  <c r="AB23" i="39" s="1"/>
  <c r="J23" i="39"/>
  <c r="AC23" i="39" s="1"/>
  <c r="F23" i="39"/>
  <c r="AA23" i="39" s="1"/>
  <c r="F96" i="39"/>
  <c r="G96" i="39" s="1"/>
  <c r="AC30" i="40"/>
  <c r="W30" i="40"/>
  <c r="AB39" i="39"/>
  <c r="U39" i="39"/>
  <c r="W46" i="39"/>
  <c r="AC46" i="39"/>
  <c r="AB27" i="36"/>
  <c r="U27" i="36"/>
  <c r="AA35" i="33"/>
  <c r="U31" i="37"/>
  <c r="AB31" i="37"/>
  <c r="AB23" i="37"/>
  <c r="U35" i="34"/>
  <c r="AB35" i="34"/>
  <c r="AA39" i="33"/>
  <c r="S39" i="33"/>
  <c r="AB13" i="35"/>
  <c r="J14" i="33"/>
  <c r="AA29" i="37"/>
  <c r="S29" i="37"/>
  <c r="F13" i="36"/>
  <c r="S33" i="34"/>
  <c r="AA33" i="34"/>
  <c r="S34" i="36"/>
  <c r="AA34" i="36"/>
  <c r="BL538" i="3"/>
  <c r="AZ538" i="3" s="1"/>
  <c r="AB33" i="34"/>
  <c r="J27" i="39"/>
  <c r="AC27" i="39" s="1"/>
  <c r="AZ496" i="3"/>
  <c r="AZ512" i="3"/>
  <c r="AZ553" i="3"/>
  <c r="F46" i="34"/>
  <c r="F30" i="34"/>
  <c r="F12" i="34"/>
  <c r="S12" i="34" s="1"/>
  <c r="AZ338" i="3"/>
  <c r="AZ299" i="3"/>
  <c r="AZ322" i="3"/>
  <c r="AZ15" i="3"/>
  <c r="S22" i="31"/>
  <c r="BL484" i="3"/>
  <c r="BL536" i="3"/>
  <c r="BL544" i="3"/>
  <c r="AZ544" i="3" s="1"/>
  <c r="AB30" i="33"/>
  <c r="U30" i="33"/>
  <c r="S42" i="34"/>
  <c r="W8" i="34"/>
  <c r="E101" i="21"/>
  <c r="F101" i="21" s="1"/>
  <c r="G101" i="21" s="1"/>
  <c r="H101" i="21" s="1"/>
  <c r="I101" i="21" s="1"/>
  <c r="J101" i="21" s="1"/>
  <c r="K101" i="21" s="1"/>
  <c r="L101" i="21" s="1"/>
  <c r="M101" i="21" s="1"/>
  <c r="F32" i="21"/>
  <c r="AA32" i="21" s="1"/>
  <c r="J28" i="34"/>
  <c r="W28" i="34" s="1"/>
  <c r="F28" i="34"/>
  <c r="H45" i="33"/>
  <c r="U45" i="33" s="1"/>
  <c r="J45" i="33"/>
  <c r="AB30" i="37"/>
  <c r="U30" i="37"/>
  <c r="W41" i="21"/>
  <c r="AC41" i="21"/>
  <c r="U34" i="37"/>
  <c r="AB34" i="37"/>
  <c r="BA557" i="3"/>
  <c r="BL555" i="3"/>
  <c r="G540" i="3"/>
  <c r="BA520" i="3"/>
  <c r="AZ520" i="3" s="1"/>
  <c r="BL501" i="3"/>
  <c r="BA493" i="3"/>
  <c r="AZ493" i="3" s="1"/>
  <c r="S25" i="40"/>
  <c r="H15" i="21"/>
  <c r="AB15" i="21" s="1"/>
  <c r="AB15" i="33"/>
  <c r="J20" i="36"/>
  <c r="AC20" i="36" s="1"/>
  <c r="W15" i="34"/>
  <c r="AC36" i="33"/>
  <c r="W32" i="33"/>
  <c r="H27" i="39"/>
  <c r="AZ554" i="3"/>
  <c r="AZ566" i="3"/>
  <c r="H46" i="34"/>
  <c r="J12" i="34"/>
  <c r="S24" i="36"/>
  <c r="AZ379" i="3"/>
  <c r="AZ374" i="3"/>
  <c r="AZ381" i="3"/>
  <c r="AZ331" i="3"/>
  <c r="AZ343" i="3"/>
  <c r="BL546" i="3"/>
  <c r="AZ546" i="3" s="1"/>
  <c r="AZ569" i="3"/>
  <c r="F27" i="21"/>
  <c r="AA27" i="21" s="1"/>
  <c r="S10" i="21"/>
  <c r="C29" i="39"/>
  <c r="H9" i="21"/>
  <c r="I4" i="6"/>
  <c r="BL572" i="3"/>
  <c r="BL570" i="3"/>
  <c r="BS5" i="3"/>
  <c r="BM5" i="3"/>
  <c r="BH5" i="3"/>
  <c r="J26" i="33"/>
  <c r="F26" i="33"/>
  <c r="H9" i="34"/>
  <c r="F9" i="34"/>
  <c r="F64" i="36"/>
  <c r="G64" i="36" s="1"/>
  <c r="J16" i="36"/>
  <c r="AC16" i="36" s="1"/>
  <c r="BA530" i="3"/>
  <c r="BL527" i="3"/>
  <c r="G525" i="3"/>
  <c r="G490" i="3"/>
  <c r="W34" i="36"/>
  <c r="AC34" i="36"/>
  <c r="H31" i="21"/>
  <c r="AB31" i="21" s="1"/>
  <c r="J31" i="21"/>
  <c r="B73" i="46"/>
  <c r="C23" i="39"/>
  <c r="BA533" i="3"/>
  <c r="AZ533" i="3" s="1"/>
  <c r="BA531" i="3"/>
  <c r="AZ531" i="3" s="1"/>
  <c r="BP5" i="3"/>
  <c r="BK5" i="3"/>
  <c r="J23" i="35"/>
  <c r="G568" i="3"/>
  <c r="G560" i="3"/>
  <c r="BL559" i="3"/>
  <c r="AZ559" i="3" s="1"/>
  <c r="G559" i="3"/>
  <c r="BA555" i="3"/>
  <c r="G543" i="3"/>
  <c r="BA541" i="3"/>
  <c r="BA527" i="3"/>
  <c r="G524" i="3"/>
  <c r="BL523" i="3"/>
  <c r="BL521" i="3"/>
  <c r="AZ521" i="3" s="1"/>
  <c r="G521" i="3"/>
  <c r="BA518" i="3"/>
  <c r="G516" i="3"/>
  <c r="BL515" i="3"/>
  <c r="AZ515" i="3" s="1"/>
  <c r="G514" i="3"/>
  <c r="BA513" i="3"/>
  <c r="G500" i="3"/>
  <c r="G483" i="3"/>
  <c r="BL481" i="3"/>
  <c r="AZ481" i="3" s="1"/>
  <c r="BL19" i="3"/>
  <c r="AZ19" i="3" s="1"/>
  <c r="BA451" i="3"/>
  <c r="BL454" i="3"/>
  <c r="BA459" i="3"/>
  <c r="BA464" i="3"/>
  <c r="BA321" i="3"/>
  <c r="AZ321" i="3" s="1"/>
  <c r="BA337" i="3"/>
  <c r="AZ337" i="3" s="1"/>
  <c r="G397" i="3"/>
  <c r="G406" i="3"/>
  <c r="G407" i="3"/>
  <c r="BL407" i="3"/>
  <c r="G410" i="3"/>
  <c r="G411" i="3"/>
  <c r="G414" i="3"/>
  <c r="G415" i="3"/>
  <c r="BA415" i="3"/>
  <c r="BA417" i="3"/>
  <c r="BL417" i="3"/>
  <c r="G428" i="3"/>
  <c r="BA432" i="3"/>
  <c r="G434" i="3"/>
  <c r="G435" i="3"/>
  <c r="BL435" i="3"/>
  <c r="BA437" i="3"/>
  <c r="BL437" i="3"/>
  <c r="BA440" i="3"/>
  <c r="BL442" i="3"/>
  <c r="BA444" i="3"/>
  <c r="G454" i="3"/>
  <c r="BL456" i="3"/>
  <c r="G457" i="3"/>
  <c r="G461" i="3"/>
  <c r="G470" i="3"/>
  <c r="G471" i="3"/>
  <c r="G474" i="3"/>
  <c r="G475" i="3"/>
  <c r="BA475" i="3"/>
  <c r="G305" i="3"/>
  <c r="G309" i="3"/>
  <c r="BA315" i="3"/>
  <c r="AZ315" i="3" s="1"/>
  <c r="BL316" i="3"/>
  <c r="AZ316" i="3" s="1"/>
  <c r="G317" i="3"/>
  <c r="BA319" i="3"/>
  <c r="W23" i="36"/>
  <c r="AA40" i="33"/>
  <c r="G565" i="3"/>
  <c r="G564" i="3"/>
  <c r="BA561" i="3"/>
  <c r="AZ561" i="3" s="1"/>
  <c r="BA560" i="3"/>
  <c r="AZ560" i="3" s="1"/>
  <c r="BL557" i="3"/>
  <c r="BL541" i="3"/>
  <c r="G541" i="3"/>
  <c r="BA536" i="3"/>
  <c r="G532" i="3"/>
  <c r="G509" i="3"/>
  <c r="G504" i="3"/>
  <c r="G503" i="3"/>
  <c r="BA502" i="3"/>
  <c r="BA499" i="3"/>
  <c r="AZ499" i="3" s="1"/>
  <c r="G498" i="3"/>
  <c r="BA497" i="3"/>
  <c r="AZ497" i="3" s="1"/>
  <c r="G496" i="3"/>
  <c r="G495" i="3"/>
  <c r="BL494" i="3"/>
  <c r="AZ494" i="3" s="1"/>
  <c r="BL491" i="3"/>
  <c r="BA491" i="3"/>
  <c r="G491" i="3"/>
  <c r="BL489" i="3"/>
  <c r="AZ489" i="3" s="1"/>
  <c r="G489" i="3"/>
  <c r="G488" i="3"/>
  <c r="BA487" i="3"/>
  <c r="BL14" i="3"/>
  <c r="AZ14" i="3" s="1"/>
  <c r="A2" i="55"/>
  <c r="B55" i="63" s="1"/>
  <c r="A11" i="55"/>
  <c r="B62" i="63" s="1"/>
  <c r="BL390" i="3"/>
  <c r="BL412" i="3"/>
  <c r="BL422" i="3"/>
  <c r="BA424" i="3"/>
  <c r="BA428" i="3"/>
  <c r="BL445" i="3"/>
  <c r="BA470" i="3"/>
  <c r="BL509" i="3"/>
  <c r="AZ509" i="3" s="1"/>
  <c r="BL506" i="3"/>
  <c r="BA505" i="3"/>
  <c r="AZ505" i="3" s="1"/>
  <c r="BA504" i="3"/>
  <c r="AZ504" i="3" s="1"/>
  <c r="F8" i="1"/>
  <c r="AP8" i="1" s="1"/>
  <c r="G390" i="3"/>
  <c r="BL394" i="3"/>
  <c r="G404" i="3"/>
  <c r="G412" i="3"/>
  <c r="G422" i="3"/>
  <c r="G423" i="3"/>
  <c r="BL423" i="3"/>
  <c r="BL426" i="3"/>
  <c r="G427" i="3"/>
  <c r="BL429" i="3"/>
  <c r="G432" i="3"/>
  <c r="BL450" i="3"/>
  <c r="BA452" i="3"/>
  <c r="G468" i="3"/>
  <c r="G472" i="3"/>
  <c r="BL302" i="3"/>
  <c r="AZ302" i="3" s="1"/>
  <c r="BL306" i="3"/>
  <c r="AZ306" i="3" s="1"/>
  <c r="G307" i="3"/>
  <c r="G311" i="3"/>
  <c r="G315" i="3"/>
  <c r="G320" i="3"/>
  <c r="G325" i="3"/>
  <c r="BA325" i="3"/>
  <c r="AZ325" i="3" s="1"/>
  <c r="G336" i="3"/>
  <c r="G341" i="3"/>
  <c r="BA369" i="3"/>
  <c r="G370" i="3"/>
  <c r="BA371" i="3"/>
  <c r="G386" i="3"/>
  <c r="BA205" i="3"/>
  <c r="G208" i="3"/>
  <c r="BA216" i="3"/>
  <c r="BA219" i="3"/>
  <c r="G227" i="3"/>
  <c r="G237" i="3"/>
  <c r="G238" i="3"/>
  <c r="BL238" i="3"/>
  <c r="BA240" i="3"/>
  <c r="BL240" i="3"/>
  <c r="G247" i="3"/>
  <c r="BA257" i="3"/>
  <c r="G260" i="3"/>
  <c r="BA271" i="3"/>
  <c r="G280" i="3"/>
  <c r="G285" i="3"/>
  <c r="G290" i="3"/>
  <c r="BA129" i="3"/>
  <c r="BA133" i="3"/>
  <c r="BA135" i="3"/>
  <c r="AZ135" i="3" s="1"/>
  <c r="BA145" i="3"/>
  <c r="G152" i="3"/>
  <c r="BL159" i="3"/>
  <c r="BL163" i="3"/>
  <c r="G203" i="3"/>
  <c r="BL21" i="3"/>
  <c r="G23" i="3"/>
  <c r="BA24" i="3"/>
  <c r="G63" i="3"/>
  <c r="BL72" i="3"/>
  <c r="BL79" i="3"/>
  <c r="G82" i="3"/>
  <c r="BA87" i="3"/>
  <c r="BL88" i="3"/>
  <c r="BL89" i="3"/>
  <c r="G91" i="3"/>
  <c r="BA91" i="3"/>
  <c r="BA93" i="3"/>
  <c r="BL104" i="3"/>
  <c r="BA367" i="3"/>
  <c r="AZ367" i="3" s="1"/>
  <c r="BL368" i="3"/>
  <c r="BL384" i="3"/>
  <c r="BL214" i="3"/>
  <c r="BL270" i="3"/>
  <c r="BL274" i="3"/>
  <c r="BA276" i="3"/>
  <c r="BL276" i="3"/>
  <c r="BL120" i="3"/>
  <c r="BA124" i="3"/>
  <c r="BA156" i="3"/>
  <c r="BA186" i="3"/>
  <c r="BA194" i="3"/>
  <c r="BL25" i="3"/>
  <c r="BA29" i="3"/>
  <c r="BL30" i="3"/>
  <c r="BL31" i="3"/>
  <c r="BA33" i="3"/>
  <c r="BL34" i="3"/>
  <c r="BL35" i="3"/>
  <c r="BA36" i="3"/>
  <c r="BA55" i="3"/>
  <c r="G58" i="3"/>
  <c r="BL62" i="3"/>
  <c r="BL64" i="3"/>
  <c r="BL98" i="3"/>
  <c r="C72" i="59"/>
  <c r="D25" i="59"/>
  <c r="G333" i="3"/>
  <c r="BA335" i="3"/>
  <c r="BL351" i="3"/>
  <c r="G352" i="3"/>
  <c r="G381" i="3"/>
  <c r="BA208" i="3"/>
  <c r="G211" i="3"/>
  <c r="BA213" i="3"/>
  <c r="G216" i="3"/>
  <c r="G220" i="3"/>
  <c r="BA228" i="3"/>
  <c r="G229" i="3"/>
  <c r="BL230" i="3"/>
  <c r="BA232" i="3"/>
  <c r="BL232" i="3"/>
  <c r="G245" i="3"/>
  <c r="G246" i="3"/>
  <c r="G249" i="3"/>
  <c r="G250" i="3"/>
  <c r="BA252" i="3"/>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BL46" i="3"/>
  <c r="G56" i="3"/>
  <c r="G57" i="3"/>
  <c r="BA58" i="3"/>
  <c r="G64" i="3"/>
  <c r="G66" i="3"/>
  <c r="G71" i="3"/>
  <c r="BA71" i="3"/>
  <c r="BA76" i="3"/>
  <c r="BL77" i="3"/>
  <c r="BL78" i="3"/>
  <c r="G83" i="3"/>
  <c r="G98" i="3"/>
  <c r="X32" i="59"/>
  <c r="X33" i="59"/>
  <c r="B60" i="59"/>
  <c r="B61" i="59" s="1"/>
  <c r="S61" i="59" s="1"/>
  <c r="B76" i="59"/>
  <c r="B75" i="59" s="1"/>
  <c r="K1" i="12"/>
  <c r="E32" i="59"/>
  <c r="E33" i="59" s="1"/>
  <c r="U33" i="59" s="1"/>
  <c r="E40" i="59"/>
  <c r="E41" i="59" s="1"/>
  <c r="U41" i="59" s="1"/>
  <c r="B44" i="59"/>
  <c r="B45" i="59" s="1"/>
  <c r="S45" i="59" s="1"/>
  <c r="C60" i="59"/>
  <c r="C18" i="9"/>
  <c r="D18" i="9" s="1"/>
  <c r="W31" i="35"/>
  <c r="AA33" i="35"/>
  <c r="U33" i="35"/>
  <c r="U32" i="35"/>
  <c r="F29" i="35"/>
  <c r="S29" i="35" s="1"/>
  <c r="J29" i="35"/>
  <c r="U29" i="35"/>
  <c r="AB26" i="35"/>
  <c r="AA26" i="35"/>
  <c r="AA29" i="35"/>
  <c r="S31" i="35"/>
  <c r="H14" i="35"/>
  <c r="F14" i="35"/>
  <c r="AA14" i="35" s="1"/>
  <c r="J14" i="35"/>
  <c r="AC14" i="35" s="1"/>
  <c r="AA20" i="35"/>
  <c r="W20" i="35"/>
  <c r="AC16" i="35"/>
  <c r="S25" i="35"/>
  <c r="AA22" i="35"/>
  <c r="S16" i="35"/>
  <c r="AB18" i="35"/>
  <c r="U22" i="35"/>
  <c r="U20" i="35"/>
  <c r="AB16" i="35"/>
  <c r="AC26" i="35"/>
  <c r="W32" i="35"/>
  <c r="W25" i="35"/>
  <c r="AC33" i="35"/>
  <c r="AB8" i="35"/>
  <c r="S9"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F23" i="21"/>
  <c r="H23" i="21"/>
  <c r="AB23" i="21" s="1"/>
  <c r="W27" i="39"/>
  <c r="F69" i="21"/>
  <c r="G69" i="21" s="1"/>
  <c r="H69" i="21" s="1"/>
  <c r="I69" i="21" s="1"/>
  <c r="J69" i="21" s="1"/>
  <c r="K69" i="21" s="1"/>
  <c r="L69" i="21" s="1"/>
  <c r="M69" i="21" s="1"/>
  <c r="F11" i="21"/>
  <c r="S11" i="21" s="1"/>
  <c r="H11" i="21"/>
  <c r="U11" i="21" s="1"/>
  <c r="AB17" i="39"/>
  <c r="U11" i="39"/>
  <c r="W33" i="21"/>
  <c r="I7" i="6"/>
  <c r="G3" i="46" s="1"/>
  <c r="Z7" i="46" s="1"/>
  <c r="H17" i="2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U19" i="21"/>
  <c r="S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S14" i="21"/>
  <c r="S21" i="21"/>
  <c r="F125" i="39"/>
  <c r="G125" i="39" s="1"/>
  <c r="H125" i="39" s="1"/>
  <c r="I125" i="39" s="1"/>
  <c r="J125" i="39" s="1"/>
  <c r="K125" i="39" s="1"/>
  <c r="L125" i="39" s="1"/>
  <c r="M125" i="39" s="1"/>
  <c r="J43" i="39"/>
  <c r="F43" i="39"/>
  <c r="AA43" i="39" s="1"/>
  <c r="H43" i="39"/>
  <c r="U43" i="39" s="1"/>
  <c r="S31" i="39"/>
  <c r="S29" i="39"/>
  <c r="AB29" i="39"/>
  <c r="W29" i="39"/>
  <c r="S27" i="39"/>
  <c r="AB25" i="39"/>
  <c r="S25" i="39"/>
  <c r="W25" i="39"/>
  <c r="U23" i="39"/>
  <c r="S23" i="39"/>
  <c r="W23" i="39"/>
  <c r="AC19" i="39"/>
  <c r="U19" i="39"/>
  <c r="S17" i="39"/>
  <c r="D26" i="44"/>
  <c r="D24" i="44"/>
  <c r="F12" i="1"/>
  <c r="F7" i="1"/>
  <c r="K8" i="1"/>
  <c r="M8" i="1" s="1"/>
  <c r="O8" i="1" s="1"/>
  <c r="P8" i="1" s="1"/>
  <c r="G1" i="15"/>
  <c r="K1" i="43"/>
  <c r="K6" i="1"/>
  <c r="M6" i="1" s="1"/>
  <c r="B6" i="1"/>
  <c r="E6" i="1" s="1"/>
  <c r="F3" i="35"/>
  <c r="C7" i="37"/>
  <c r="C52" i="37" s="1"/>
  <c r="D52" i="37" s="1"/>
  <c r="E52" i="37" s="1"/>
  <c r="F52" i="37" s="1"/>
  <c r="G52" i="37" s="1"/>
  <c r="H52" i="37" s="1"/>
  <c r="I52" i="37" s="1"/>
  <c r="J52" i="37" s="1"/>
  <c r="K52" i="37" s="1"/>
  <c r="H1" i="65"/>
  <c r="AC44" i="39"/>
  <c r="AA44" i="39"/>
  <c r="AB44" i="39"/>
  <c r="B54" i="46"/>
  <c r="C19" i="39"/>
  <c r="B67" i="46"/>
  <c r="B56" i="46"/>
  <c r="C21" i="39"/>
  <c r="B76" i="46"/>
  <c r="B77" i="46"/>
  <c r="B68" i="46"/>
  <c r="S43" i="39"/>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536" i="3"/>
  <c r="AZ491" i="3"/>
  <c r="W25" i="33"/>
  <c r="AC25" i="33"/>
  <c r="AC37" i="34"/>
  <c r="W37" i="34"/>
  <c r="AB25" i="40"/>
  <c r="U25" i="40"/>
  <c r="AC29" i="35"/>
  <c r="W29" i="35"/>
  <c r="AC34" i="39"/>
  <c r="W34" i="39"/>
  <c r="AA13" i="21"/>
  <c r="S13" i="21"/>
  <c r="U45" i="21"/>
  <c r="AB45" i="21"/>
  <c r="U44" i="33"/>
  <c r="AA11" i="35"/>
  <c r="S11" i="35"/>
  <c r="AC29" i="40"/>
  <c r="W29" i="40"/>
  <c r="S20" i="36"/>
  <c r="U20" i="36"/>
  <c r="AB20" i="36"/>
  <c r="AC17" i="34"/>
  <c r="W17" i="34"/>
  <c r="U41" i="33"/>
  <c r="AB41" i="33"/>
  <c r="S47" i="39"/>
  <c r="AB14" i="39"/>
  <c r="U14" i="39"/>
  <c r="U46" i="39"/>
  <c r="AB46" i="39"/>
  <c r="W29" i="33"/>
  <c r="AC29" i="33"/>
  <c r="AA13" i="34"/>
  <c r="S13" i="34"/>
  <c r="S23" i="35"/>
  <c r="AA23" i="35"/>
  <c r="K34" i="9"/>
  <c r="AC17" i="37"/>
  <c r="W17" i="37"/>
  <c r="AC19" i="37"/>
  <c r="W19" i="37"/>
  <c r="U14" i="36"/>
  <c r="AB14" i="36"/>
  <c r="W11" i="33"/>
  <c r="AC11" i="33"/>
  <c r="S27" i="34"/>
  <c r="AA27" i="34"/>
  <c r="AB41" i="39"/>
  <c r="U41" i="39"/>
  <c r="AB36" i="33"/>
  <c r="U36" i="33"/>
  <c r="AB15" i="40"/>
  <c r="U15" i="40"/>
  <c r="AB27" i="39"/>
  <c r="U27" i="39"/>
  <c r="AC16" i="39"/>
  <c r="W16" i="39"/>
  <c r="U23" i="35"/>
  <c r="AB23" i="35"/>
  <c r="AZ548" i="3"/>
  <c r="W21" i="39"/>
  <c r="AC21" i="39"/>
  <c r="U31" i="21"/>
  <c r="AC39" i="37"/>
  <c r="W39" i="37"/>
  <c r="AZ530" i="3"/>
  <c r="AC40" i="34"/>
  <c r="S33" i="36"/>
  <c r="S32" i="33"/>
  <c r="AA11" i="33"/>
  <c r="U17" i="34"/>
  <c r="U21" i="39"/>
  <c r="AZ523" i="3"/>
  <c r="AC32" i="36"/>
  <c r="AZ377" i="3"/>
  <c r="AZ303" i="3"/>
  <c r="AA23" i="37"/>
  <c r="AC41" i="34"/>
  <c r="AZ488" i="3"/>
  <c r="AZ558" i="3"/>
  <c r="AZ501" i="3"/>
  <c r="AZ551" i="3"/>
  <c r="AB44" i="21"/>
  <c r="U46" i="21"/>
  <c r="H12" i="21"/>
  <c r="J24" i="36"/>
  <c r="H24" i="36"/>
  <c r="AA12" i="34"/>
  <c r="AC14" i="34"/>
  <c r="W14" i="35"/>
  <c r="U23" i="33"/>
  <c r="S19" i="37"/>
  <c r="AB25" i="21"/>
  <c r="S47" i="34"/>
  <c r="AB29" i="34"/>
  <c r="U38" i="37"/>
  <c r="AC15" i="37"/>
  <c r="AA22" i="36"/>
  <c r="U16" i="36"/>
  <c r="W11" i="35"/>
  <c r="F29" i="6"/>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F36" i="35"/>
  <c r="AC33" i="36"/>
  <c r="BL482" i="3"/>
  <c r="AZ482" i="3" s="1"/>
  <c r="BL524" i="3"/>
  <c r="BL532" i="3"/>
  <c r="BL550" i="3"/>
  <c r="AZ550" i="3" s="1"/>
  <c r="U28" i="21"/>
  <c r="AB45" i="33"/>
  <c r="W42" i="21"/>
  <c r="AB30" i="36"/>
  <c r="U29" i="36"/>
  <c r="S8" i="21"/>
  <c r="W9" i="34"/>
  <c r="W22" i="36"/>
  <c r="F39" i="37"/>
  <c r="J12" i="21"/>
  <c r="G572" i="3"/>
  <c r="J36" i="35"/>
  <c r="G569" i="3"/>
  <c r="G553" i="3"/>
  <c r="G481" i="3"/>
  <c r="G19" i="3"/>
  <c r="AZ492" i="3"/>
  <c r="AZ557" i="3"/>
  <c r="AC28" i="33"/>
  <c r="G511" i="3"/>
  <c r="G486" i="3"/>
  <c r="BL477" i="3"/>
  <c r="BA480" i="3"/>
  <c r="BA341" i="3"/>
  <c r="AZ341" i="3" s="1"/>
  <c r="BA350" i="3"/>
  <c r="BA385" i="3"/>
  <c r="BL386" i="3"/>
  <c r="BL207" i="3"/>
  <c r="BA211" i="3"/>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G439" i="3"/>
  <c r="BA439" i="3"/>
  <c r="BL441" i="3"/>
  <c r="G445" i="3"/>
  <c r="BA448" i="3"/>
  <c r="BL453" i="3"/>
  <c r="BA458" i="3"/>
  <c r="BL460" i="3"/>
  <c r="G463" i="3"/>
  <c r="BA463" i="3"/>
  <c r="BA465" i="3"/>
  <c r="BL465" i="3"/>
  <c r="BA468" i="3"/>
  <c r="BA474" i="3"/>
  <c r="BL476" i="3"/>
  <c r="G479" i="3"/>
  <c r="BA479" i="3"/>
  <c r="BA301" i="3"/>
  <c r="AZ301" i="3" s="1"/>
  <c r="BL308" i="3"/>
  <c r="AZ308" i="3" s="1"/>
  <c r="BL319" i="3"/>
  <c r="AZ319" i="3" s="1"/>
  <c r="BL330" i="3"/>
  <c r="AZ330" i="3" s="1"/>
  <c r="BL346" i="3"/>
  <c r="AZ346" i="3" s="1"/>
  <c r="BA368" i="3"/>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BA220" i="3"/>
  <c r="G223" i="3"/>
  <c r="BA225" i="3"/>
  <c r="G230" i="3"/>
  <c r="BA231" i="3"/>
  <c r="G235" i="3"/>
  <c r="G236" i="3"/>
  <c r="BA237" i="3"/>
  <c r="BL239" i="3"/>
  <c r="G242" i="3"/>
  <c r="BL242" i="3"/>
  <c r="BA251" i="3"/>
  <c r="G255" i="3"/>
  <c r="BL269" i="3"/>
  <c r="BL280" i="3"/>
  <c r="G283" i="3"/>
  <c r="G284" i="3"/>
  <c r="G289" i="3"/>
  <c r="BL292" i="3"/>
  <c r="AZ292" i="3" s="1"/>
  <c r="K145" i="21"/>
  <c r="BL389" i="3"/>
  <c r="G392" i="3"/>
  <c r="G393" i="3"/>
  <c r="BA396" i="3"/>
  <c r="G400" i="3"/>
  <c r="BA402" i="3"/>
  <c r="BL404" i="3"/>
  <c r="G405" i="3"/>
  <c r="BA411" i="3"/>
  <c r="BA413" i="3"/>
  <c r="BL413" i="3"/>
  <c r="BA416" i="3"/>
  <c r="AZ416" i="3" s="1"/>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G269" i="3"/>
  <c r="BL273" i="3"/>
  <c r="BA275" i="3"/>
  <c r="BA295" i="3"/>
  <c r="BL114" i="3"/>
  <c r="AZ114" i="3" s="1"/>
  <c r="BA115" i="3"/>
  <c r="AZ115" i="3" s="1"/>
  <c r="BL117" i="3"/>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BL68" i="3"/>
  <c r="G70" i="3"/>
  <c r="BA73" i="3"/>
  <c r="BL75" i="3"/>
  <c r="G77" i="3"/>
  <c r="G78" i="3"/>
  <c r="BA78" i="3"/>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G183" i="3"/>
  <c r="G184" i="3"/>
  <c r="G187" i="3"/>
  <c r="G191" i="3"/>
  <c r="G192" i="3"/>
  <c r="G195" i="3"/>
  <c r="G199" i="3"/>
  <c r="G200" i="3"/>
  <c r="BL202" i="3"/>
  <c r="BL203" i="3"/>
  <c r="BA204" i="3"/>
  <c r="BA26" i="3"/>
  <c r="G30" i="3"/>
  <c r="G31" i="3"/>
  <c r="BA31" i="3"/>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G243" i="3"/>
  <c r="G244" i="3"/>
  <c r="BL246" i="3"/>
  <c r="BA248" i="3"/>
  <c r="BL248" i="3"/>
  <c r="BA253" i="3"/>
  <c r="BL255" i="3"/>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56" i="3"/>
  <c r="G157" i="3"/>
  <c r="G164" i="3"/>
  <c r="BL167" i="3"/>
  <c r="BL169" i="3"/>
  <c r="AZ169" i="3" s="1"/>
  <c r="BA170" i="3"/>
  <c r="AZ170" i="3" s="1"/>
  <c r="BL172" i="3"/>
  <c r="AZ172" i="3" s="1"/>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AC27" i="40"/>
  <c r="AB18" i="36"/>
  <c r="W20" i="36"/>
  <c r="S17" i="34"/>
  <c r="AC16" i="40"/>
  <c r="U16" i="40"/>
  <c r="W14" i="39"/>
  <c r="S21" i="59"/>
  <c r="AB11" i="33"/>
  <c r="S33" i="40"/>
  <c r="AZ513" i="3"/>
  <c r="AZ518" i="3"/>
  <c r="AZ539" i="3"/>
  <c r="O40" i="9"/>
  <c r="K31" i="9" s="1"/>
  <c r="K32" i="9" s="1"/>
  <c r="AZ526" i="3"/>
  <c r="AZ534" i="3"/>
  <c r="H5" i="3"/>
  <c r="BA570" i="3"/>
  <c r="BE5" i="3"/>
  <c r="B94" i="46"/>
  <c r="B84" i="46"/>
  <c r="AZ340" i="3"/>
  <c r="AZ329" i="3"/>
  <c r="AZ355" i="3"/>
  <c r="AZ514" i="3"/>
  <c r="AZ502"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BL385" i="3"/>
  <c r="AZ385" i="3" s="1"/>
  <c r="BL205" i="3"/>
  <c r="BL209" i="3"/>
  <c r="AZ209" i="3" s="1"/>
  <c r="BL213" i="3"/>
  <c r="AZ213" i="3" s="1"/>
  <c r="AZ216" i="3"/>
  <c r="BL217" i="3"/>
  <c r="BL221" i="3"/>
  <c r="BL225" i="3"/>
  <c r="AZ225" i="3" s="1"/>
  <c r="BA390" i="3"/>
  <c r="AZ390" i="3" s="1"/>
  <c r="BA394" i="3"/>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BA431" i="3"/>
  <c r="BL432" i="3"/>
  <c r="BA435" i="3"/>
  <c r="BL444" i="3"/>
  <c r="BL452" i="3"/>
  <c r="AZ452" i="3" s="1"/>
  <c r="BA455" i="3"/>
  <c r="BL318" i="3"/>
  <c r="AZ318" i="3" s="1"/>
  <c r="BL334" i="3"/>
  <c r="BL350" i="3"/>
  <c r="BA375" i="3"/>
  <c r="AZ375" i="3" s="1"/>
  <c r="BA386" i="3"/>
  <c r="AZ386" i="3" s="1"/>
  <c r="BL387" i="3"/>
  <c r="AZ387" i="3" s="1"/>
  <c r="BA206" i="3"/>
  <c r="BA210" i="3"/>
  <c r="AZ210" i="3" s="1"/>
  <c r="BL211" i="3"/>
  <c r="BA214" i="3"/>
  <c r="AZ214" i="3" s="1"/>
  <c r="BA218" i="3"/>
  <c r="AZ218" i="3" s="1"/>
  <c r="BL219" i="3"/>
  <c r="BA222" i="3"/>
  <c r="BA226" i="3"/>
  <c r="AZ226" i="3" s="1"/>
  <c r="BL227" i="3"/>
  <c r="AZ125" i="3"/>
  <c r="BA149" i="3"/>
  <c r="BL233" i="3"/>
  <c r="BL237" i="3"/>
  <c r="BL241" i="3"/>
  <c r="AZ241" i="3" s="1"/>
  <c r="BL245" i="3"/>
  <c r="AZ245" i="3" s="1"/>
  <c r="BL249" i="3"/>
  <c r="AZ249" i="3" s="1"/>
  <c r="BL253" i="3"/>
  <c r="AZ253" i="3" s="1"/>
  <c r="BL257" i="3"/>
  <c r="BL261" i="3"/>
  <c r="BL265" i="3"/>
  <c r="BA272" i="3"/>
  <c r="BA280" i="3"/>
  <c r="BA288" i="3"/>
  <c r="AZ288" i="3" s="1"/>
  <c r="BA296" i="3"/>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BA285" i="3"/>
  <c r="AZ285" i="3" s="1"/>
  <c r="BA289" i="3"/>
  <c r="AZ289" i="3" s="1"/>
  <c r="BA293" i="3"/>
  <c r="AZ293" i="3" s="1"/>
  <c r="BL294" i="3"/>
  <c r="AZ294" i="3" s="1"/>
  <c r="BL116" i="3"/>
  <c r="BA121" i="3"/>
  <c r="AZ121" i="3" s="1"/>
  <c r="BL124" i="3"/>
  <c r="AZ124" i="3" s="1"/>
  <c r="BL132" i="3"/>
  <c r="BA137" i="3"/>
  <c r="BL140" i="3"/>
  <c r="AZ140" i="3" s="1"/>
  <c r="BL148" i="3"/>
  <c r="BA152" i="3"/>
  <c r="AZ152" i="3" s="1"/>
  <c r="BA230" i="3"/>
  <c r="AZ230" i="3" s="1"/>
  <c r="BA234" i="3"/>
  <c r="BL235" i="3"/>
  <c r="AZ235" i="3" s="1"/>
  <c r="BA238" i="3"/>
  <c r="BA242" i="3"/>
  <c r="BL243" i="3"/>
  <c r="AZ243" i="3" s="1"/>
  <c r="BA246" i="3"/>
  <c r="BA250" i="3"/>
  <c r="BL251" i="3"/>
  <c r="BA254" i="3"/>
  <c r="BA258" i="3"/>
  <c r="AZ258" i="3" s="1"/>
  <c r="BL259" i="3"/>
  <c r="BA262" i="3"/>
  <c r="AZ262" i="3" s="1"/>
  <c r="BA266" i="3"/>
  <c r="BL267" i="3"/>
  <c r="AZ267" i="3" s="1"/>
  <c r="BA270" i="3"/>
  <c r="BL271" i="3"/>
  <c r="BA274" i="3"/>
  <c r="AZ274" i="3" s="1"/>
  <c r="BL275" i="3"/>
  <c r="BA278" i="3"/>
  <c r="BL279" i="3"/>
  <c r="AZ279" i="3" s="1"/>
  <c r="BA282" i="3"/>
  <c r="BL283" i="3"/>
  <c r="AZ283" i="3" s="1"/>
  <c r="BA286" i="3"/>
  <c r="AZ286" i="3" s="1"/>
  <c r="BL287" i="3"/>
  <c r="AZ287" i="3" s="1"/>
  <c r="BA290" i="3"/>
  <c r="BL291" i="3"/>
  <c r="AZ291" i="3" s="1"/>
  <c r="BL295" i="3"/>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BL40" i="3"/>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AZ194" i="3" s="1"/>
  <c r="BA197" i="3"/>
  <c r="AZ197" i="3" s="1"/>
  <c r="BA28" i="3"/>
  <c r="BL29" i="3"/>
  <c r="BA32" i="3"/>
  <c r="BL33" i="3"/>
  <c r="BA44" i="3"/>
  <c r="BL45" i="3"/>
  <c r="BA48" i="3"/>
  <c r="BL49" i="3"/>
  <c r="AZ49" i="3" s="1"/>
  <c r="BA62" i="3"/>
  <c r="AZ62" i="3" s="1"/>
  <c r="BA66" i="3"/>
  <c r="BL67" i="3"/>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8" i="3"/>
  <c r="BA105" i="3"/>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P28" i="46" s="1"/>
  <c r="B67" i="40"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395" i="3"/>
  <c r="AZ397" i="3"/>
  <c r="AZ405" i="3"/>
  <c r="AZ417" i="3"/>
  <c r="AZ437" i="3"/>
  <c r="AZ447" i="3"/>
  <c r="AZ206" i="3"/>
  <c r="BT5" i="3"/>
  <c r="BI5" i="3"/>
  <c r="BG5" i="3"/>
  <c r="AZ219" i="3"/>
  <c r="AZ271" i="3"/>
  <c r="AZ182" i="3"/>
  <c r="AZ186" i="3"/>
  <c r="AZ190" i="3"/>
  <c r="AZ29" i="3"/>
  <c r="AZ54" i="3"/>
  <c r="AZ76"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L48" i="15"/>
  <c r="F36" i="15"/>
  <c r="I6" i="65"/>
  <c r="J36" i="15"/>
  <c r="F8" i="15"/>
  <c r="M10" i="44"/>
  <c r="J15" i="15"/>
  <c r="I3" i="65"/>
  <c r="F6" i="15"/>
  <c r="I7" i="65"/>
  <c r="F26" i="15"/>
  <c r="F7" i="15"/>
  <c r="F9" i="15"/>
  <c r="J7" i="65"/>
  <c r="M23" i="15"/>
  <c r="M28" i="44"/>
  <c r="M11" i="44"/>
  <c r="J6" i="65"/>
  <c r="F38" i="15"/>
  <c r="F28" i="44"/>
  <c r="M29" i="15"/>
  <c r="M22" i="15"/>
  <c r="F37" i="15"/>
  <c r="F40" i="15"/>
  <c r="F13" i="15"/>
  <c r="J4" i="65"/>
  <c r="I4" i="65"/>
  <c r="F16" i="15"/>
  <c r="M26" i="15"/>
  <c r="F45" i="44"/>
  <c r="M24" i="15"/>
  <c r="J3" i="65"/>
  <c r="J5" i="65"/>
  <c r="F43" i="15"/>
  <c r="M28" i="15"/>
  <c r="M6" i="15"/>
  <c r="M9" i="15"/>
  <c r="F18" i="44"/>
  <c r="I5" i="65"/>
  <c r="L47" i="15"/>
  <c r="F42" i="15"/>
  <c r="M8" i="15"/>
  <c r="AC19" i="21" l="1"/>
  <c r="AZ40" i="3"/>
  <c r="AZ290" i="3"/>
  <c r="AZ282" i="3"/>
  <c r="AZ254" i="3"/>
  <c r="AZ233" i="3"/>
  <c r="AZ221" i="3"/>
  <c r="AZ402" i="3"/>
  <c r="AZ22" i="3"/>
  <c r="AZ239" i="3"/>
  <c r="AZ176" i="3"/>
  <c r="AZ63" i="3"/>
  <c r="AZ117" i="3"/>
  <c r="AZ275" i="3"/>
  <c r="AZ413" i="3"/>
  <c r="AZ476" i="3"/>
  <c r="AZ211" i="3"/>
  <c r="M43" i="9"/>
  <c r="AZ45" i="3"/>
  <c r="AZ232" i="3"/>
  <c r="AZ240" i="3"/>
  <c r="AZ412" i="3"/>
  <c r="AZ527" i="3"/>
  <c r="F28" i="6"/>
  <c r="AZ260" i="3"/>
  <c r="U25" i="37"/>
  <c r="AB25" i="37"/>
  <c r="S46" i="21"/>
  <c r="AA46" i="21"/>
  <c r="W14" i="40"/>
  <c r="AC14" i="40"/>
  <c r="AZ541" i="3"/>
  <c r="S30" i="21"/>
  <c r="AA30" i="21"/>
  <c r="AA37" i="21"/>
  <c r="G29" i="6"/>
  <c r="AZ484" i="3"/>
  <c r="D80" i="59"/>
  <c r="C79" i="59"/>
  <c r="D79" i="59" s="1"/>
  <c r="W12" i="36"/>
  <c r="AC12" i="36"/>
  <c r="AZ198" i="3"/>
  <c r="AZ259" i="3"/>
  <c r="AZ251" i="3"/>
  <c r="AZ460" i="3"/>
  <c r="AZ436" i="3"/>
  <c r="D88" i="59"/>
  <c r="C87" i="59"/>
  <c r="D87" i="59" s="1"/>
  <c r="W25" i="37"/>
  <c r="AC25" i="37"/>
  <c r="AA14" i="39"/>
  <c r="S14" i="39"/>
  <c r="AC39" i="39"/>
  <c r="W39" i="39"/>
  <c r="D24" i="59"/>
  <c r="C23" i="59"/>
  <c r="AA11" i="21"/>
  <c r="AC15" i="21"/>
  <c r="O6" i="1"/>
  <c r="P6" i="1" s="1"/>
  <c r="C15" i="12" s="1"/>
  <c r="C15" i="43"/>
  <c r="G7" i="1"/>
  <c r="AP7" i="1"/>
  <c r="W43" i="39"/>
  <c r="AC43" i="39"/>
  <c r="AC23" i="21"/>
  <c r="W23" i="21"/>
  <c r="B20" i="31"/>
  <c r="R22" i="31"/>
  <c r="B21" i="31" s="1"/>
  <c r="W27" i="37"/>
  <c r="AC27" i="37"/>
  <c r="AB13" i="36"/>
  <c r="U13" i="36"/>
  <c r="S44" i="33"/>
  <c r="AA44" i="33"/>
  <c r="AA28" i="33"/>
  <c r="S28" i="33"/>
  <c r="AZ187" i="3"/>
  <c r="AB17" i="21"/>
  <c r="U17" i="21"/>
  <c r="S28" i="34"/>
  <c r="AA28" i="34"/>
  <c r="C23" i="46"/>
  <c r="P27" i="46"/>
  <c r="P29" i="46"/>
  <c r="B72" i="39" s="1"/>
  <c r="P26" i="46"/>
  <c r="O23" i="46"/>
  <c r="P25" i="46"/>
  <c r="D69" i="39"/>
  <c r="C71" i="39"/>
  <c r="BL5" i="3"/>
  <c r="AZ105" i="3"/>
  <c r="AZ148" i="3"/>
  <c r="AZ113" i="3"/>
  <c r="AZ272" i="3"/>
  <c r="AZ237" i="3"/>
  <c r="U14" i="35"/>
  <c r="AB14" i="35"/>
  <c r="AZ33" i="3"/>
  <c r="AZ432" i="3"/>
  <c r="AC23" i="35"/>
  <c r="W23" i="35"/>
  <c r="AC26" i="33"/>
  <c r="W26" i="33"/>
  <c r="AZ106" i="3"/>
  <c r="AZ68" i="3"/>
  <c r="AZ255" i="3"/>
  <c r="AA9" i="34"/>
  <c r="S9" i="34"/>
  <c r="AC12" i="34"/>
  <c r="W12" i="34"/>
  <c r="AA30" i="34"/>
  <c r="S30" i="34"/>
  <c r="W14" i="33"/>
  <c r="AC14" i="33"/>
  <c r="AC15" i="39"/>
  <c r="W15" i="39"/>
  <c r="AZ48" i="3"/>
  <c r="AZ443" i="3"/>
  <c r="AZ409" i="3"/>
  <c r="AZ96" i="3"/>
  <c r="AZ227" i="3"/>
  <c r="AZ80" i="3"/>
  <c r="AZ427" i="3"/>
  <c r="AZ335" i="3"/>
  <c r="AZ404" i="3"/>
  <c r="AZ102" i="3"/>
  <c r="AZ86" i="3"/>
  <c r="AZ101" i="3"/>
  <c r="AZ99" i="3"/>
  <c r="AZ66" i="3"/>
  <c r="AZ55" i="3"/>
  <c r="AZ155" i="3"/>
  <c r="AZ295" i="3"/>
  <c r="AZ278" i="3"/>
  <c r="AZ270" i="3"/>
  <c r="AZ238" i="3"/>
  <c r="AZ137" i="3"/>
  <c r="AZ116" i="3"/>
  <c r="AZ261" i="3"/>
  <c r="AZ149" i="3"/>
  <c r="AZ444" i="3"/>
  <c r="AZ428" i="3"/>
  <c r="AZ442" i="3"/>
  <c r="AZ477" i="3"/>
  <c r="AZ466" i="3"/>
  <c r="AZ421" i="3"/>
  <c r="AZ215" i="3"/>
  <c r="AZ570" i="3"/>
  <c r="AZ180" i="3"/>
  <c r="AZ78" i="3"/>
  <c r="F30" i="6"/>
  <c r="D60" i="59"/>
  <c r="C61" i="59"/>
  <c r="AZ252" i="3"/>
  <c r="AB9" i="34"/>
  <c r="U9" i="34"/>
  <c r="AB46" i="34"/>
  <c r="U46" i="34"/>
  <c r="W45" i="33"/>
  <c r="AC45" i="33"/>
  <c r="AA46" i="34"/>
  <c r="S46" i="34"/>
  <c r="S13" i="36"/>
  <c r="AA13" i="36"/>
  <c r="AZ487" i="3"/>
  <c r="AB14" i="33"/>
  <c r="U14" i="33"/>
  <c r="AB27" i="34"/>
  <c r="U27" i="34"/>
  <c r="AA15" i="39"/>
  <c r="S15" i="39"/>
  <c r="AB15" i="39"/>
  <c r="U15" i="39"/>
  <c r="AZ87" i="3"/>
  <c r="AZ90" i="3"/>
  <c r="AZ81" i="3"/>
  <c r="AZ32" i="3"/>
  <c r="AZ52" i="3"/>
  <c r="AZ296" i="3"/>
  <c r="AZ431" i="3"/>
  <c r="AZ369" i="3"/>
  <c r="AZ469" i="3"/>
  <c r="AZ368" i="3"/>
  <c r="AZ465" i="3"/>
  <c r="AZ396" i="3"/>
  <c r="AZ98" i="3"/>
  <c r="AZ59" i="3"/>
  <c r="AZ36" i="3"/>
  <c r="AZ246" i="3"/>
  <c r="AZ132" i="3"/>
  <c r="AZ281" i="3"/>
  <c r="AZ120" i="3"/>
  <c r="AZ257" i="3"/>
  <c r="AZ222" i="3"/>
  <c r="AZ435" i="3"/>
  <c r="AZ459" i="3"/>
  <c r="AZ394" i="3"/>
  <c r="AZ205" i="3"/>
  <c r="S27" i="37"/>
  <c r="AC28" i="34"/>
  <c r="AZ203" i="3"/>
  <c r="AZ31" i="3"/>
  <c r="AB43" i="39"/>
  <c r="AA15" i="21"/>
  <c r="AZ276" i="3"/>
  <c r="AC31" i="21"/>
  <c r="W31" i="21"/>
  <c r="AA26" i="33"/>
  <c r="S26" i="33"/>
  <c r="AB9" i="21"/>
  <c r="U9" i="21"/>
  <c r="AB47" i="39"/>
  <c r="U47" i="39"/>
  <c r="W13" i="36"/>
  <c r="AC13" i="36"/>
  <c r="AA14" i="33"/>
  <c r="S14" i="33"/>
  <c r="U28" i="33"/>
  <c r="AB28" i="3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AP16" i="1" s="1"/>
  <c r="F22" i="11" s="1"/>
  <c r="G12" i="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G34" i="1" s="1"/>
  <c r="Q16" i="1"/>
  <c r="F21" i="43" s="1"/>
  <c r="H16" i="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63" i="39" s="1"/>
  <c r="J7" i="21"/>
  <c r="AC7" i="21" s="1"/>
  <c r="V48" i="21" s="1"/>
  <c r="I48" i="21" s="1"/>
  <c r="E61" i="46"/>
  <c r="B59" i="46" s="1"/>
  <c r="E50" i="46"/>
  <c r="B48" i="46" s="1"/>
  <c r="C28" i="46" s="1"/>
  <c r="D123" i="46"/>
  <c r="E123" i="46" s="1"/>
  <c r="F123" i="46" s="1"/>
  <c r="G123" i="46" s="1"/>
  <c r="H123" i="46" s="1"/>
  <c r="D117" i="46"/>
  <c r="E17" i="46"/>
  <c r="C17" i="46" s="1"/>
  <c r="C7" i="46"/>
  <c r="F27" i="6"/>
  <c r="F31" i="6" s="1"/>
  <c r="E58" i="39"/>
  <c r="E10" i="6"/>
  <c r="E14" i="6"/>
  <c r="E65" i="39" s="1"/>
  <c r="E13" i="6"/>
  <c r="E59" i="40" s="1"/>
  <c r="E11" i="6"/>
  <c r="E62" i="39" s="1"/>
  <c r="B37" i="9" s="1"/>
  <c r="E28" i="6"/>
  <c r="K14" i="1" s="1"/>
  <c r="G5" i="3"/>
  <c r="B3" i="3" s="1"/>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F8" i="44"/>
  <c r="F39" i="44"/>
  <c r="M25" i="44"/>
  <c r="E2" i="65"/>
  <c r="M31" i="44"/>
  <c r="M26" i="44"/>
  <c r="M8" i="44"/>
  <c r="C18" i="44"/>
  <c r="L48" i="44"/>
  <c r="E3" i="65"/>
  <c r="F38" i="44"/>
  <c r="F9" i="44"/>
  <c r="M24" i="44"/>
  <c r="F46" i="44"/>
  <c r="M30" i="44"/>
  <c r="C16" i="15"/>
  <c r="F43" i="44"/>
  <c r="F15" i="44"/>
  <c r="F10" i="44"/>
  <c r="L49" i="44"/>
  <c r="J17" i="44"/>
  <c r="F40" i="44"/>
  <c r="F11" i="44"/>
  <c r="F41" i="15"/>
  <c r="M9" i="44" l="1"/>
  <c r="Q73" i="44"/>
  <c r="L60" i="44"/>
  <c r="L59" i="44"/>
  <c r="J54" i="44"/>
  <c r="L57" i="44"/>
  <c r="I55" i="44"/>
  <c r="J58" i="44"/>
  <c r="J56" i="44" s="1"/>
  <c r="J59" i="44" s="1"/>
  <c r="Q52" i="44" s="1"/>
  <c r="J8" i="44"/>
  <c r="J20" i="44" s="1"/>
  <c r="C8" i="44"/>
  <c r="C34" i="44" s="1"/>
  <c r="S7" i="34"/>
  <c r="C28" i="66"/>
  <c r="C32" i="66" s="1"/>
  <c r="D33" i="66" s="1"/>
  <c r="E37" i="9"/>
  <c r="G35" i="9" s="1"/>
  <c r="C7" i="44"/>
  <c r="C40" i="44" s="1"/>
  <c r="C22" i="59"/>
  <c r="D23" i="59"/>
  <c r="H34" i="1"/>
  <c r="T48" i="21"/>
  <c r="G48" i="21" s="1"/>
  <c r="R48" i="21"/>
  <c r="R49" i="21" s="1"/>
  <c r="T61" i="59"/>
  <c r="D61" i="59"/>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26" i="46"/>
  <c r="C25"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L19" i="6"/>
  <c r="L27" i="6" s="1"/>
  <c r="F33" i="12"/>
  <c r="C34" i="12" s="1"/>
  <c r="D33" i="12" s="1"/>
  <c r="J6" i="15"/>
  <c r="J18" i="15" s="1"/>
  <c r="Q75" i="15"/>
  <c r="Q61" i="15"/>
  <c r="Q53" i="15"/>
  <c r="C48" i="15"/>
  <c r="E61" i="40"/>
  <c r="E58" i="40"/>
  <c r="AZ5" i="3"/>
  <c r="E3" i="6" s="1"/>
  <c r="D16" i="43" s="1"/>
  <c r="C16" i="43" s="1"/>
  <c r="B40" i="1"/>
  <c r="L36" i="46" s="1"/>
  <c r="M36" i="46" s="1"/>
  <c r="F17" i="11"/>
  <c r="C17" i="11" s="1"/>
  <c r="C19" i="11" s="1"/>
  <c r="C20" i="11" s="1"/>
  <c r="C21" i="11" s="1"/>
  <c r="C22" i="11" s="1"/>
  <c r="C23" i="11" s="1"/>
  <c r="B2" i="11" s="1"/>
  <c r="C37" i="59"/>
  <c r="D36" i="59"/>
  <c r="W7" i="21"/>
  <c r="T53" i="59"/>
  <c r="D53" i="59"/>
  <c r="D57" i="59"/>
  <c r="T57" i="59"/>
  <c r="N66" i="59"/>
  <c r="N67" i="59"/>
  <c r="F12" i="59"/>
  <c r="F11" i="59" s="1"/>
  <c r="V13" i="59"/>
  <c r="C33" i="59"/>
  <c r="D32" i="59"/>
  <c r="E20" i="59"/>
  <c r="E19" i="59" s="1"/>
  <c r="E18" i="59" s="1"/>
  <c r="E17" i="59" s="1"/>
  <c r="U21" i="59"/>
  <c r="C41" i="59"/>
  <c r="D40" i="59"/>
  <c r="AB7" i="34"/>
  <c r="T49" i="34" s="1"/>
  <c r="G49" i="34" s="1"/>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G53" i="21"/>
  <c r="H53" i="21" s="1"/>
  <c r="R50" i="34"/>
  <c r="E49" i="34"/>
  <c r="I52" i="33"/>
  <c r="J52" i="33" s="1"/>
  <c r="E66" i="40"/>
  <c r="F64" i="40"/>
  <c r="C52" i="15"/>
  <c r="C10" i="15"/>
  <c r="C5" i="15" s="1"/>
  <c r="C38" i="15" s="1"/>
  <c r="M27" i="15"/>
  <c r="M29" i="44"/>
  <c r="J7" i="44" l="1"/>
  <c r="J26" i="44" s="1"/>
  <c r="C21" i="59"/>
  <c r="D22" i="59"/>
  <c r="Q62" i="44"/>
  <c r="Q75" i="44"/>
  <c r="Q76" i="44"/>
  <c r="Q63" i="44"/>
  <c r="E28" i="66"/>
  <c r="E32" i="66" s="1"/>
  <c r="C43" i="9"/>
  <c r="K47" i="9" s="1"/>
  <c r="A14" i="55" s="1"/>
  <c r="B65" i="63" s="1"/>
  <c r="J60" i="44"/>
  <c r="J61" i="44" s="1"/>
  <c r="Q50" i="44" s="1"/>
  <c r="F1" i="44"/>
  <c r="Q54" i="44"/>
  <c r="G54" i="34"/>
  <c r="H54" i="34" s="1"/>
  <c r="C33" i="46"/>
  <c r="J5" i="15"/>
  <c r="J24" i="15" s="1"/>
  <c r="E6" i="6"/>
  <c r="D13" i="11" s="1"/>
  <c r="C13" i="11" s="1"/>
  <c r="C47" i="15"/>
  <c r="C59" i="15" s="1"/>
  <c r="AY6" i="3"/>
  <c r="AY456" i="3" s="1"/>
  <c r="D45" i="9"/>
  <c r="C21" i="4"/>
  <c r="O5" i="54" s="1"/>
  <c r="B45" i="63" s="1"/>
  <c r="L38" i="9"/>
  <c r="D16" i="12"/>
  <c r="D19" i="12" s="1"/>
  <c r="C19" i="12" s="1"/>
  <c r="N36" i="46"/>
  <c r="O36" i="46"/>
  <c r="P36" i="46"/>
  <c r="Q36" i="46"/>
  <c r="L37" i="46"/>
  <c r="P37" i="46" s="1"/>
  <c r="D37" i="59"/>
  <c r="T37" i="59"/>
  <c r="D22" i="12"/>
  <c r="C22" i="12" s="1"/>
  <c r="C20" i="12"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3"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C17" i="15"/>
  <c r="T21" i="59" l="1"/>
  <c r="D21" i="59"/>
  <c r="C20" i="59"/>
  <c r="AY221" i="3"/>
  <c r="AY64" i="3"/>
  <c r="AY28" i="3"/>
  <c r="AY356" i="3"/>
  <c r="AY341" i="3"/>
  <c r="AY43" i="3"/>
  <c r="AY265" i="3"/>
  <c r="AY47" i="3"/>
  <c r="AY168" i="3"/>
  <c r="AY407" i="3"/>
  <c r="AY133" i="3"/>
  <c r="AY48" i="3"/>
  <c r="AY329" i="3"/>
  <c r="AY144" i="3"/>
  <c r="AY182" i="3"/>
  <c r="AY385" i="3"/>
  <c r="AY511" i="3"/>
  <c r="AY262" i="3"/>
  <c r="AY342" i="3"/>
  <c r="AY476" i="3"/>
  <c r="AY503" i="3"/>
  <c r="B14" i="66"/>
  <c r="B1" i="66" s="1"/>
  <c r="AY446" i="3"/>
  <c r="AY493" i="3"/>
  <c r="AY204" i="3"/>
  <c r="AY218" i="3"/>
  <c r="AY123" i="3"/>
  <c r="AY305" i="3"/>
  <c r="AY343" i="3"/>
  <c r="AY159" i="3"/>
  <c r="AY525" i="3"/>
  <c r="AY461" i="3"/>
  <c r="AY192" i="3"/>
  <c r="AY59" i="3"/>
  <c r="AY424" i="3"/>
  <c r="AY157" i="3"/>
  <c r="AY104" i="3"/>
  <c r="AY538" i="3"/>
  <c r="AY520" i="3"/>
  <c r="AY243" i="3"/>
  <c r="AY284" i="3"/>
  <c r="AY165"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C10" i="12" s="1"/>
  <c r="C8" i="12"/>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O37" i="46"/>
  <c r="Q37" i="46"/>
  <c r="M37" i="46"/>
  <c r="N37" i="4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6" i="6"/>
  <c r="D28" i="6"/>
  <c r="D19"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B5" i="11" l="1"/>
  <c r="C40" i="39"/>
  <c r="C19" i="59"/>
  <c r="D20" i="59"/>
  <c r="D24" i="6"/>
  <c r="F45" i="9"/>
  <c r="H20" i="6"/>
  <c r="D26" i="6"/>
  <c r="R26" i="6" s="1"/>
  <c r="D25" i="6"/>
  <c r="D14" i="6"/>
  <c r="D15" i="6"/>
  <c r="D6" i="6"/>
  <c r="C22" i="4"/>
  <c r="E45" i="9"/>
  <c r="E62" i="40"/>
  <c r="M27" i="6"/>
  <c r="E46" i="9"/>
  <c r="D12" i="6"/>
  <c r="D5" i="6"/>
  <c r="D9" i="6"/>
  <c r="H25" i="6"/>
  <c r="D23" i="6"/>
  <c r="D27" i="6" s="1"/>
  <c r="D31" i="6" s="1"/>
  <c r="D10" i="6"/>
  <c r="F46" i="9"/>
  <c r="D13" i="6"/>
  <c r="K38" i="9"/>
  <c r="C14" i="66" s="1"/>
  <c r="B2" i="66" s="1"/>
  <c r="D8" i="6"/>
  <c r="B4" i="11"/>
  <c r="C7" i="66"/>
  <c r="C8" i="66"/>
  <c r="H21" i="6"/>
  <c r="D30" i="6"/>
  <c r="H24" i="6"/>
  <c r="R24" i="6" s="1"/>
  <c r="R11" i="1" s="1"/>
  <c r="H23" i="6"/>
  <c r="H22" i="6"/>
  <c r="R22" i="6" s="1"/>
  <c r="R9" i="1" s="1"/>
  <c r="S16" i="1"/>
  <c r="T11" i="1" s="1"/>
  <c r="C31" i="46"/>
  <c r="C30" i="46"/>
  <c r="B2" i="46" s="1"/>
  <c r="D4" i="46" s="1"/>
  <c r="I27" i="6"/>
  <c r="S19" i="6"/>
  <c r="S27" i="6" s="1"/>
  <c r="H19" i="6"/>
  <c r="R19" i="6" s="1"/>
  <c r="R6" i="1" s="1"/>
  <c r="F7" i="59"/>
  <c r="B8" i="59"/>
  <c r="E8" i="59"/>
  <c r="R25" i="6"/>
  <c r="R12" i="1" s="1"/>
  <c r="R21" i="6"/>
  <c r="R8" i="1" s="1"/>
  <c r="A20" i="64"/>
  <c r="A6" i="64"/>
  <c r="A20" i="51"/>
  <c r="B15" i="63" s="1"/>
  <c r="N5" i="54"/>
  <c r="B43" i="63" s="1"/>
  <c r="A6" i="51"/>
  <c r="B7" i="63" s="1"/>
  <c r="D16" i="6"/>
  <c r="R20" i="6"/>
  <c r="R7" i="1" s="1"/>
  <c r="C17" i="43"/>
  <c r="C14" i="43"/>
  <c r="C14" i="12"/>
  <c r="C17" i="12"/>
  <c r="I64" i="40"/>
  <c r="H66" i="40"/>
  <c r="H71" i="39"/>
  <c r="I69" i="39"/>
  <c r="N46" i="36"/>
  <c r="E3" i="67"/>
  <c r="B2" i="67"/>
  <c r="F35" i="15"/>
  <c r="M21" i="15"/>
  <c r="M23" i="44"/>
  <c r="F37" i="44"/>
  <c r="C18" i="59" l="1"/>
  <c r="D19" i="59"/>
  <c r="F40" i="39"/>
  <c r="H40" i="39"/>
  <c r="J40" i="39"/>
  <c r="R23" i="6"/>
  <c r="R10" i="1" s="1"/>
  <c r="R16" i="1" s="1"/>
  <c r="D7" i="66"/>
  <c r="D8" i="66"/>
  <c r="T7" i="1"/>
  <c r="T12" i="1"/>
  <c r="T8" i="1"/>
  <c r="T13" i="1"/>
  <c r="T10" i="1"/>
  <c r="T9" i="1"/>
  <c r="T6" i="1"/>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AB40" i="39" l="1"/>
  <c r="U40" i="39"/>
  <c r="AA40" i="39"/>
  <c r="S40" i="39"/>
  <c r="AC40" i="39"/>
  <c r="W40" i="39"/>
  <c r="C17" i="59"/>
  <c r="D18" i="59"/>
  <c r="C15" i="15"/>
  <c r="C18" i="15"/>
  <c r="T16" i="1"/>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C36" i="36"/>
  <c r="C14" i="59" l="1"/>
  <c r="D15" i="59"/>
  <c r="B2" i="36"/>
  <c r="D10" i="12" s="1"/>
  <c r="D8" i="12"/>
  <c r="N64" i="40"/>
  <c r="N66" i="40" s="1"/>
  <c r="M66" i="40"/>
  <c r="N69" i="39"/>
  <c r="N71" i="39" s="1"/>
  <c r="M71" i="39"/>
  <c r="C13" i="59" l="1"/>
  <c r="D14"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40"/>
  <c r="B4" i="40"/>
  <c r="B3" i="40"/>
  <c r="C19" i="9"/>
  <c r="C7" i="59" l="1"/>
  <c r="D8" i="59"/>
  <c r="L43" i="9"/>
  <c r="B4" i="39"/>
  <c r="B5" i="39"/>
  <c r="B3" i="39"/>
  <c r="F20" i="43"/>
  <c r="D20" i="43" s="1"/>
  <c r="F26" i="12"/>
  <c r="F26" i="44"/>
  <c r="F24" i="15"/>
  <c r="C20" i="9"/>
  <c r="C21"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l="1"/>
  <c r="B2" i="12" s="1"/>
  <c r="B4" i="12" s="1"/>
  <c r="D19" i="9"/>
  <c r="D21" i="9"/>
  <c r="B5" i="12" l="1"/>
  <c r="B3" i="12"/>
  <c r="G19" i="9"/>
  <c r="G22" i="9" s="1"/>
  <c r="L44" i="9"/>
  <c r="D22" i="9"/>
  <c r="G21" i="9"/>
  <c r="D20" i="9"/>
  <c r="N43" i="9" l="1"/>
  <c r="C32" i="9"/>
  <c r="O38" i="9" s="1"/>
  <c r="G20" i="9"/>
  <c r="C33" i="9"/>
  <c r="C34" i="9" l="1"/>
  <c r="M38" i="9" s="1"/>
  <c r="K27" i="9" s="1"/>
  <c r="C42" i="9"/>
  <c r="C35" i="9"/>
  <c r="F42" i="9" s="1"/>
  <c r="O43" i="9"/>
  <c r="E42" i="9"/>
  <c r="P5" i="54" s="1"/>
  <c r="B46" i="63" s="1"/>
  <c r="D14" i="66"/>
  <c r="K26" i="9"/>
  <c r="K25" i="9"/>
  <c r="R5" i="54"/>
  <c r="B48" i="63" s="1"/>
  <c r="D63" i="9"/>
  <c r="C44" i="9"/>
  <c r="N68" i="9"/>
  <c r="N38" i="9"/>
  <c r="K28" i="9" s="1"/>
  <c r="D42" i="9"/>
  <c r="Q5" i="54" s="1"/>
  <c r="B47" i="63" s="1"/>
  <c r="E15" i="66"/>
  <c r="F15" i="66"/>
  <c r="D71" i="9" l="1"/>
  <c r="D66" i="9" s="1"/>
  <c r="N72" i="9" s="1"/>
  <c r="C103" i="9"/>
  <c r="D73" i="9"/>
  <c r="N73" i="9" s="1"/>
  <c r="C111" i="9"/>
  <c r="C104" i="9" s="1"/>
  <c r="C96" i="9"/>
  <c r="C91" i="9" s="1"/>
  <c r="D70" i="9"/>
  <c r="C82" i="9"/>
  <c r="C81" i="9" s="1"/>
  <c r="C85" i="9" s="1"/>
  <c r="C86" i="9" s="1"/>
  <c r="D72" i="9" s="1"/>
  <c r="C90" i="9"/>
  <c r="E14" i="66"/>
  <c r="F14" i="66"/>
  <c r="N69" i="9"/>
  <c r="F44" i="9"/>
  <c r="D44" i="9"/>
  <c r="E44" i="9"/>
  <c r="O39" i="9"/>
  <c r="C113" i="9" l="1"/>
  <c r="C114" i="9" s="1"/>
  <c r="E114" i="9" s="1"/>
  <c r="E115" i="9" s="1"/>
  <c r="G14" i="66"/>
  <c r="K29" i="9"/>
  <c r="K30" i="9" s="1"/>
  <c r="R6" i="54"/>
  <c r="B50" i="63" s="1"/>
  <c r="M83" i="9"/>
  <c r="N83" i="9" s="1"/>
  <c r="M88" i="9"/>
  <c r="N88" i="9" s="1"/>
  <c r="M86" i="9"/>
  <c r="N86" i="9" s="1"/>
  <c r="M84" i="9"/>
  <c r="N84" i="9" s="1"/>
  <c r="M85" i="9"/>
  <c r="N85" i="9" s="1"/>
  <c r="M87" i="9"/>
  <c r="N87" i="9" s="1"/>
  <c r="C97" i="9"/>
  <c r="C115" i="9" l="1"/>
  <c r="D76" i="9" s="1"/>
  <c r="D74" i="9" s="1"/>
  <c r="N74" i="9" s="1"/>
  <c r="O77" i="9" s="1"/>
  <c r="O79" i="9" s="1"/>
  <c r="N89" i="9"/>
  <c r="O89" i="9" s="1"/>
  <c r="C98" i="9"/>
  <c r="E98" i="9" s="1"/>
  <c r="E99" i="9" s="1"/>
  <c r="Q77" i="9" l="1"/>
  <c r="O78" i="9"/>
  <c r="C99" i="9"/>
  <c r="O80" i="9"/>
  <c r="O81" i="9"/>
  <c r="E16" i="66" l="1"/>
  <c r="F16" i="66"/>
  <c r="B5" i="66"/>
  <c r="C5" i="66" l="1"/>
  <c r="D5" i="66"/>
  <c r="B6" i="66"/>
  <c r="D6" i="66" l="1"/>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E69" authorId="0" shapeId="0" xr:uid="{00000000-0006-0000-0B00-000001000000}">
      <text>
        <r>
          <rPr>
            <b/>
            <sz val="9"/>
            <color indexed="81"/>
            <rFont val="宋体"/>
            <family val="3"/>
            <charset val="134"/>
          </rPr>
          <t>a:</t>
        </r>
        <r>
          <rPr>
            <sz val="9"/>
            <color indexed="81"/>
            <rFont val="宋体"/>
            <family val="3"/>
            <charset val="134"/>
          </rPr>
          <t xml:space="preserve">
物业用房
</t>
        </r>
      </text>
    </comment>
    <comment ref="E97" authorId="0" shapeId="0" xr:uid="{00000000-0006-0000-0B00-000002000000}">
      <text>
        <r>
          <rPr>
            <b/>
            <sz val="9"/>
            <color indexed="81"/>
            <rFont val="宋体"/>
            <family val="3"/>
            <charset val="134"/>
          </rPr>
          <t>a:</t>
        </r>
        <r>
          <rPr>
            <sz val="9"/>
            <color indexed="81"/>
            <rFont val="宋体"/>
            <family val="3"/>
            <charset val="134"/>
          </rPr>
          <t xml:space="preserve">
物业用房
</t>
        </r>
      </text>
    </comment>
    <comment ref="J97" authorId="0" shapeId="0" xr:uid="{00000000-0006-0000-0B00-00000300000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<sst xmlns="http://schemas.openxmlformats.org/spreadsheetml/2006/main" count="8474" uniqueCount="3773">
  <si>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</si>
  <si>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</si>
  <si>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</si>
  <si>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</si>
  <si>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</si>
  <si>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</si>
  <si>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</si>
  <si>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</si>
  <si>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</si>
  <si>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</si>
  <si>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</si>
  <si>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</si>
  <si>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</si>
  <si>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</si>
  <si>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</si>
  <si>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</si>
  <si>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</si>
  <si>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</si>
  <si>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</si>
  <si>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</si>
  <si>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</si>
  <si>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</si>
  <si>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</si>
  <si>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</si>
  <si>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</si>
  <si>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</si>
  <si>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</si>
  <si>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</si>
  <si>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</si>
  <si>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</si>
  <si>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</si>
  <si>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</si>
  <si>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</si>
  <si>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</si>
  <si>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</si>
  <si>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</si>
  <si>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</si>
  <si>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</si>
  <si>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</si>
  <si>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</si>
  <si>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</si>
  <si>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</si>
  <si>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</si>
  <si>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</si>
  <si>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</si>
  <si>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</si>
  <si>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</si>
  <si>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</si>
  <si>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</si>
  <si>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</si>
  <si>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</si>
  <si>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</si>
  <si>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</si>
  <si>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</si>
  <si>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</si>
  <si>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</si>
  <si>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</si>
  <si>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</si>
  <si>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</si>
  <si>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</si>
  <si>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</si>
  <si>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</si>
  <si>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</si>
  <si>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</si>
  <si>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</si>
  <si>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</si>
  <si>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</si>
  <si>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</si>
  <si>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</si>
  <si>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</si>
  <si>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</si>
  <si>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</si>
  <si>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</si>
  <si>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</si>
  <si>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</si>
  <si>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</si>
  <si>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</si>
  <si>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</si>
  <si>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</si>
  <si>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</si>
  <si>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</si>
  <si>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</si>
  <si>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</si>
  <si>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</si>
  <si>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</si>
  <si>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</si>
  <si>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</si>
  <si>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</si>
  <si>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</si>
  <si>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</si>
  <si>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</si>
  <si>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</si>
  <si>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</si>
  <si>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</si>
  <si>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</si>
  <si>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</si>
  <si>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</si>
  <si>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</si>
  <si>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</si>
  <si>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</si>
  <si>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</si>
  <si>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</si>
  <si>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</si>
  <si>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</si>
  <si>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</si>
  <si>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</si>
  <si>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</si>
  <si>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</si>
  <si>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</si>
  <si>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</si>
  <si>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</si>
  <si>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</si>
  <si>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</si>
  <si>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</si>
  <si>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</si>
  <si>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</si>
  <si>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</si>
  <si>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</si>
  <si>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</si>
  <si>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</si>
  <si>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</si>
  <si>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</si>
  <si>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</si>
  <si>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</si>
  <si>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</si>
  <si>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</si>
  <si>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</si>
  <si>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</si>
  <si>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</si>
  <si>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</si>
  <si>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</si>
  <si>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</si>
  <si>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</si>
  <si>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</si>
  <si>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</si>
  <si>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</si>
  <si>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</si>
  <si>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</si>
  <si>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</si>
  <si>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</si>
  <si>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</si>
  <si>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</si>
  <si>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</si>
  <si>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</si>
  <si>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</si>
  <si>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</si>
  <si>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</si>
  <si>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</si>
  <si>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</si>
  <si>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</si>
  <si>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</si>
  <si>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</si>
  <si>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</si>
  <si>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</si>
  <si>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</si>
  <si>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</si>
  <si>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</si>
  <si>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</si>
  <si>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</si>
  <si>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</si>
  <si>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</si>
  <si>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</si>
  <si>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</si>
  <si>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</si>
  <si>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</si>
  <si>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</si>
  <si>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</si>
  <si>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</si>
  <si>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</si>
  <si>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</si>
  <si>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</si>
  <si>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</si>
  <si>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</si>
  <si>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</si>
  <si>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</si>
  <si>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</si>
  <si>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</si>
  <si>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</si>
  <si>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</si>
  <si>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</si>
  <si>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</si>
  <si>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</si>
  <si>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</si>
  <si>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</si>
  <si>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</si>
  <si>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</si>
  <si>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</si>
  <si>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</si>
  <si>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</si>
  <si>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</si>
  <si>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</si>
  <si>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</si>
  <si>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</si>
  <si>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</si>
  <si>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</si>
  <si>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</si>
  <si>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</si>
  <si>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</si>
  <si>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</si>
  <si>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</si>
  <si>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</si>
  <si>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</si>
  <si>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</si>
  <si>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</si>
  <si>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</si>
  <si>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</si>
  <si>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</si>
  <si>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</si>
  <si>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</si>
  <si>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</si>
  <si>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</si>
  <si>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</si>
  <si>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</si>
  <si>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</si>
  <si>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</si>
  <si>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</si>
  <si>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</si>
  <si>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</si>
  <si>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</si>
  <si>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</si>
  <si>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</si>
  <si>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</si>
  <si>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</si>
  <si>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</si>
  <si>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</si>
  <si>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</si>
  <si>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</si>
  <si>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</si>
  <si>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</si>
  <si>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</si>
  <si>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</si>
  <si>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</si>
  <si>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</si>
  <si>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</si>
  <si>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</si>
  <si>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</si>
  <si>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</si>
  <si>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</si>
  <si>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</si>
  <si>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</si>
  <si>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</si>
  <si>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</si>
  <si>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</si>
  <si>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</si>
  <si>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</si>
  <si>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</si>
  <si>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</si>
  <si>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</si>
  <si>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</si>
  <si>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</si>
  <si>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</si>
  <si>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</si>
  <si>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</si>
  <si>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</si>
  <si>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</si>
  <si>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</si>
  <si>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</si>
  <si>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</si>
  <si>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</si>
  <si>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</si>
  <si>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</si>
  <si>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</si>
  <si>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</si>
  <si>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</si>
  <si>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</si>
  <si>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</si>
  <si>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</si>
  <si>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</si>
  <si>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</si>
  <si>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</si>
  <si>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</si>
  <si>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</si>
  <si>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</si>
  <si>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</si>
  <si>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</si>
  <si>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</si>
  <si>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</si>
  <si>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</si>
  <si>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</si>
  <si>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</si>
  <si>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</si>
  <si>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</si>
  <si>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</si>
  <si>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</si>
  <si>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</si>
  <si>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</si>
  <si>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</si>
  <si>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</si>
  <si>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</si>
  <si>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</si>
  <si>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</si>
  <si>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</si>
  <si>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</si>
  <si>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</si>
  <si>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</si>
  <si>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</si>
  <si>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</si>
  <si>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</si>
  <si>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</si>
  <si>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</si>
  <si>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</si>
  <si>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</si>
  <si>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</si>
  <si>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</si>
  <si>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</si>
  <si>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</si>
  <si>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</si>
  <si>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</si>
  <si>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</si>
  <si>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</si>
  <si>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</si>
  <si>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</si>
  <si>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</si>
  <si>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</si>
  <si>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</si>
  <si>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</si>
  <si>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</si>
  <si>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</si>
  <si>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</si>
  <si>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</si>
  <si>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</si>
  <si>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</si>
  <si>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</si>
  <si>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</si>
  <si>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</si>
  <si>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</si>
  <si>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</si>
  <si>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</si>
  <si>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</si>
  <si>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</si>
  <si>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</si>
  <si>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</si>
  <si>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</si>
  <si>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</si>
  <si>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</si>
  <si>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</si>
  <si>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</si>
  <si>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</si>
  <si>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</si>
  <si>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</si>
  <si>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</si>
  <si>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</si>
  <si>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</si>
  <si>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</si>
  <si>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</si>
  <si>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</si>
  <si>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</si>
  <si>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</si>
  <si>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</si>
  <si>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</si>
  <si>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</si>
  <si>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</si>
  <si>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</si>
  <si>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</si>
  <si>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</si>
  <si>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</si>
  <si>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</si>
  <si>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</si>
  <si>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</si>
  <si>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</si>
  <si>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</si>
  <si>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</si>
  <si>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</si>
  <si>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</si>
  <si>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</si>
  <si>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</si>
  <si>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</si>
  <si>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</si>
  <si>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</si>
  <si>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</si>
  <si>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</si>
  <si>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</si>
  <si>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</si>
  <si>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</si>
  <si>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</si>
  <si>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</si>
  <si>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</si>
  <si>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</si>
  <si>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</si>
  <si>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</si>
  <si>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</si>
  <si>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</si>
  <si>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</si>
  <si>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</si>
  <si>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</si>
  <si>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</si>
  <si>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</si>
  <si>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</si>
  <si>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</si>
  <si>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</si>
  <si>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</si>
  <si>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</si>
  <si>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</si>
  <si>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</si>
  <si>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</si>
  <si>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</si>
  <si>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</si>
  <si>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</si>
  <si>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</si>
  <si>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</si>
  <si>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</si>
  <si>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</si>
  <si>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</si>
  <si>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</si>
  <si>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</si>
  <si>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</si>
  <si>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</si>
  <si>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</si>
  <si>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</si>
  <si>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</si>
  <si>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</si>
  <si>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</si>
  <si>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</si>
  <si>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</si>
  <si>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</si>
  <si>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</si>
  <si>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</si>
  <si>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</si>
  <si>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</si>
  <si>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</si>
  <si>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</si>
  <si>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</si>
  <si>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</si>
  <si>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</si>
  <si>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</si>
  <si>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</si>
  <si>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</si>
  <si>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</si>
  <si>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</si>
  <si>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</si>
  <si>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</si>
  <si>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</si>
  <si>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</si>
  <si>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</si>
  <si>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</si>
  <si>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</si>
  <si>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</si>
  <si>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</si>
  <si>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</si>
  <si>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</si>
  <si>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</si>
  <si>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</si>
  <si>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</si>
  <si>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</si>
  <si>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</si>
  <si>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</si>
  <si>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</si>
  <si>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</si>
  <si>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</si>
  <si>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</si>
  <si>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</si>
  <si>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</si>
  <si>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</si>
  <si>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</si>
  <si>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</si>
  <si>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</si>
  <si>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</si>
  <si>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</si>
  <si>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</si>
  <si>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</si>
  <si>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</si>
  <si>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</si>
  <si>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</si>
  <si>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</si>
  <si>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</si>
  <si>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</si>
  <si>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</si>
  <si>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</si>
  <si>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</si>
  <si>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</si>
  <si>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</si>
  <si>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</si>
  <si>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</si>
  <si>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</si>
  <si>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</si>
  <si>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</si>
  <si>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</si>
  <si>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</si>
  <si>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</si>
  <si>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</si>
  <si>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</si>
  <si>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</si>
  <si>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</si>
  <si>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</si>
  <si>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</si>
  <si>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</si>
  <si>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</si>
  <si>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</si>
  <si>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</si>
  <si>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</si>
  <si>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</si>
  <si>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</si>
  <si>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</si>
  <si>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</si>
  <si>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</si>
  <si>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</si>
  <si>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</si>
  <si>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</si>
  <si>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</si>
  <si>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</si>
  <si>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</si>
  <si>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</si>
  <si>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</si>
  <si>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</si>
  <si>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</si>
  <si>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</si>
  <si>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</si>
  <si>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</si>
  <si>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</si>
  <si>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</si>
  <si>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</si>
  <si>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</si>
  <si>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</si>
  <si>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</si>
  <si>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</si>
  <si>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</si>
  <si>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</si>
  <si>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</si>
  <si>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</si>
  <si>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</si>
  <si>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</si>
  <si>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</si>
  <si>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</si>
  <si>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</si>
  <si>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</si>
  <si>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</si>
  <si>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</si>
  <si>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</si>
  <si>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</si>
  <si>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</si>
  <si>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</si>
  <si>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</si>
  <si>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</si>
  <si>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</si>
  <si>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</si>
  <si>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</si>
  <si>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</si>
  <si>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</si>
  <si>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</si>
  <si>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</si>
  <si>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</si>
  <si>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</si>
  <si>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</si>
  <si>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</si>
  <si>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</si>
  <si>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</si>
  <si>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</si>
  <si>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</si>
  <si>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</si>
  <si>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</si>
  <si>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</si>
  <si>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</si>
  <si>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</si>
  <si>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</si>
  <si>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</si>
  <si>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</si>
  <si>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</si>
  <si>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</si>
  <si>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</si>
  <si>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</si>
  <si>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</si>
  <si>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</si>
  <si>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</si>
  <si>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</si>
  <si>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</si>
  <si>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</si>
  <si>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</si>
  <si>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</si>
  <si>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</si>
  <si>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</si>
  <si>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</si>
  <si>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</si>
  <si>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</si>
  <si>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</si>
  <si>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</si>
  <si>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</si>
  <si>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</si>
  <si>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</si>
  <si>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</si>
  <si>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</si>
  <si>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</si>
  <si>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</si>
  <si>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</si>
  <si>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</si>
  <si>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</si>
  <si>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</si>
  <si>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</si>
  <si>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</si>
  <si>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</si>
  <si>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</si>
  <si>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</si>
  <si>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</si>
  <si>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</si>
  <si>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</si>
  <si>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</si>
  <si>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</si>
  <si>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</si>
  <si>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</si>
  <si>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</si>
  <si>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</si>
  <si>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</si>
  <si>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</si>
  <si>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</si>
  <si>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</si>
  <si>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</si>
  <si>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</si>
  <si>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</si>
  <si>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</si>
  <si>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</si>
  <si>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</si>
  <si>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</si>
  <si>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</si>
  <si>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</si>
  <si>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</si>
  <si>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</si>
  <si>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</si>
  <si>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</si>
  <si>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</si>
  <si>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</si>
  <si>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</si>
  <si>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</si>
  <si>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</si>
  <si>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</si>
  <si>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</si>
  <si>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</si>
  <si>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</si>
  <si>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</si>
  <si>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</si>
  <si>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</si>
  <si>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</si>
  <si>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</si>
  <si>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</si>
  <si>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</si>
  <si>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</si>
  <si>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</si>
  <si>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</si>
  <si>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</si>
  <si>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</si>
  <si>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</si>
  <si>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</si>
  <si>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</si>
  <si>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</si>
  <si>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</si>
  <si>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</si>
  <si>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</si>
  <si>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</si>
  <si>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</si>
  <si>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</si>
  <si>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</si>
  <si>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</si>
  <si>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</si>
  <si>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</si>
  <si>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</si>
  <si>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</si>
  <si>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</si>
  <si>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</si>
  <si>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</si>
  <si>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</si>
  <si>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</si>
  <si>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</si>
  <si>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</si>
  <si>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</si>
  <si>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</si>
  <si>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</si>
  <si>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</si>
  <si>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</si>
  <si>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</si>
  <si>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</si>
  <si>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</si>
  <si>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</si>
  <si>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</si>
  <si>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</si>
  <si>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</si>
  <si>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</si>
  <si>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</si>
  <si>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</si>
  <si>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</si>
  <si>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</si>
  <si>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</si>
  <si>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</si>
  <si>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</si>
  <si>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</si>
  <si>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</si>
  <si>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</si>
  <si>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</si>
  <si>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</si>
  <si>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</si>
  <si>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</si>
  <si>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</si>
  <si>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</si>
  <si>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</si>
  <si>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</si>
  <si>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</si>
  <si>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</si>
  <si>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</si>
  <si>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</si>
  <si>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</si>
  <si>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</si>
  <si>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</si>
  <si>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</si>
  <si>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</si>
  <si>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</si>
  <si>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</si>
  <si>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</si>
  <si>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</si>
  <si>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</si>
  <si>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</si>
  <si>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</si>
  <si>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</si>
  <si>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</si>
  <si>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</si>
  <si>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</si>
  <si>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</si>
  <si>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</si>
  <si>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</si>
  <si>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</si>
  <si>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</si>
  <si>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</si>
  <si>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</si>
  <si>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</si>
  <si>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</si>
  <si>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</si>
  <si>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</si>
  <si>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</si>
  <si>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</si>
  <si>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</si>
  <si>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</si>
  <si>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</si>
  <si>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</si>
  <si>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</si>
  <si>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</si>
  <si>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</si>
  <si>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</si>
  <si>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</si>
  <si>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</si>
  <si>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</si>
  <si>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</si>
  <si>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</si>
  <si>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</si>
  <si>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</si>
  <si>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</si>
  <si>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</si>
  <si>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</si>
  <si>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</si>
  <si>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</si>
  <si>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</si>
  <si>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</si>
  <si>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</si>
  <si>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</si>
  <si>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</si>
  <si>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</si>
  <si>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</si>
  <si>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</si>
  <si>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</si>
  <si>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</si>
  <si>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</si>
  <si>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</si>
  <si>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</si>
  <si>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</si>
  <si>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</si>
  <si>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</si>
  <si>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</si>
  <si>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</si>
  <si>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</si>
  <si>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</si>
  <si>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</si>
  <si>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</si>
  <si>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</si>
  <si>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</si>
  <si>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</si>
  <si>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</si>
  <si>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</si>
  <si>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</si>
  <si>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</si>
  <si>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</si>
  <si>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</si>
  <si>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</si>
  <si>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</si>
  <si>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</si>
  <si>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</si>
  <si>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</si>
  <si>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</si>
  <si>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</si>
  <si>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</si>
  <si>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</si>
  <si>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</si>
  <si>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</si>
  <si>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</si>
  <si>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</si>
  <si>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</si>
  <si>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</si>
  <si>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</si>
  <si>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</si>
  <si>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</si>
  <si>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</si>
  <si>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</si>
  <si>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</si>
  <si>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</si>
  <si>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</si>
  <si>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</si>
  <si>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</si>
  <si>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</si>
  <si>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</si>
  <si>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</si>
  <si>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</si>
  <si>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</si>
  <si>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</si>
  <si>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</si>
  <si>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</si>
  <si>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</si>
  <si>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</si>
  <si>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</si>
  <si>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</si>
  <si>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</si>
  <si>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</si>
  <si>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</si>
  <si>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</si>
  <si>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</si>
  <si>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</si>
  <si>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</si>
  <si>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</si>
  <si>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</si>
  <si>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</si>
  <si>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</si>
  <si>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</si>
  <si>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</si>
  <si>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</si>
  <si>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</si>
  <si>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</si>
  <si>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</si>
  <si>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</si>
  <si>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</si>
  <si>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</si>
  <si>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</si>
  <si>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</si>
  <si>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</si>
  <si>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</si>
  <si>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</si>
  <si>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</si>
  <si>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</si>
  <si>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</si>
  <si>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</si>
  <si>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</si>
  <si>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</si>
  <si>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</si>
  <si>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</si>
  <si>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</si>
  <si>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</si>
  <si>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</si>
  <si>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</si>
  <si>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</si>
  <si>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</si>
  <si>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</si>
  <si>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</si>
  <si>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</si>
  <si>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</si>
  <si>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</si>
  <si>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</si>
  <si>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</si>
  <si>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</si>
  <si>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</si>
  <si>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</si>
  <si>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</si>
  <si>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</si>
  <si>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</si>
  <si>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</si>
  <si>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</si>
  <si>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</si>
  <si>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</si>
  <si>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</si>
  <si>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</si>
  <si>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</si>
  <si>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</si>
  <si>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</si>
  <si>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</si>
  <si>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</si>
  <si>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</si>
  <si>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</si>
  <si>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</si>
  <si>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</si>
  <si>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</si>
  <si>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</si>
  <si>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</si>
  <si>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</si>
  <si>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</si>
  <si>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</si>
  <si>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</si>
  <si>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</si>
  <si>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</si>
  <si>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</si>
  <si>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</si>
  <si>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</si>
  <si>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</si>
  <si>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</si>
  <si>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</si>
  <si>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</si>
  <si>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</si>
  <si>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</si>
  <si>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</si>
  <si>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</si>
  <si>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</si>
  <si>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</si>
  <si>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</si>
  <si>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</si>
  <si>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</si>
  <si>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</si>
  <si>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</si>
  <si>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</si>
  <si>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</si>
  <si>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</si>
  <si>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</si>
  <si>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</si>
  <si>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</si>
  <si>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</si>
  <si>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</si>
  <si>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</si>
  <si>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</si>
  <si>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</si>
  <si>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</si>
  <si>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</si>
  <si>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</si>
  <si>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</si>
  <si>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</si>
  <si>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</si>
  <si>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</si>
  <si>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</si>
  <si>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</si>
  <si>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</si>
  <si>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</si>
  <si>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</si>
  <si>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</si>
  <si>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</si>
  <si>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</si>
  <si>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</si>
  <si>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</si>
  <si>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</si>
  <si>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</si>
  <si>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</si>
  <si>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</si>
  <si>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</si>
  <si>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</si>
  <si>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</si>
  <si>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</si>
  <si>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</si>
  <si>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</si>
  <si>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</si>
  <si>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</si>
  <si>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</si>
  <si>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</si>
  <si>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</si>
  <si>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</si>
  <si>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</si>
  <si>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</si>
  <si>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</si>
  <si>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</si>
  <si>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</si>
  <si>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</si>
  <si>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</si>
  <si>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</si>
  <si>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</si>
  <si>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</si>
  <si>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</si>
  <si>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</si>
  <si>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</si>
  <si>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</si>
  <si>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</si>
  <si>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</si>
  <si>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</si>
  <si>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</si>
  <si>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</si>
  <si>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</si>
  <si>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</si>
  <si>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</si>
  <si>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</si>
  <si>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</si>
  <si>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</si>
  <si>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</si>
  <si>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</si>
  <si>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</si>
  <si>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</si>
  <si>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</si>
  <si>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</si>
  <si>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</si>
  <si>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</si>
  <si>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</si>
  <si>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</si>
  <si>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</si>
  <si>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</si>
  <si>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</si>
  <si>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</si>
  <si>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</si>
  <si>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</si>
  <si>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</si>
  <si>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</si>
  <si>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</si>
  <si>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</si>
  <si>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</si>
  <si>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</si>
  <si>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</si>
  <si>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</si>
  <si>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</si>
  <si>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</si>
  <si>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</si>
  <si>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</si>
  <si>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</si>
  <si>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</si>
  <si>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</si>
  <si>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</si>
  <si>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</si>
  <si>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</si>
  <si>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</si>
  <si>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</si>
  <si>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</si>
  <si>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</si>
  <si>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</si>
  <si>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</si>
  <si>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</si>
  <si>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</si>
  <si>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</si>
  <si>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</si>
  <si>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</si>
  <si>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</si>
  <si>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</si>
  <si>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</si>
  <si>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</si>
  <si>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</si>
  <si>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</si>
  <si>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</si>
  <si>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</si>
  <si>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</si>
  <si>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</si>
  <si>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</si>
  <si>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</si>
  <si>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</si>
  <si>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</si>
  <si>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</si>
  <si>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</si>
  <si>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</si>
  <si>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</si>
  <si>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</si>
  <si>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</si>
  <si>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</si>
  <si>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</si>
  <si>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</si>
  <si>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</si>
  <si>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</si>
  <si>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</si>
  <si>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</si>
  <si>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</si>
  <si>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</si>
  <si>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</si>
  <si>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</si>
  <si>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</si>
  <si>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</si>
  <si>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</si>
  <si>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</si>
  <si>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</si>
  <si>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</si>
  <si>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</si>
  <si>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</si>
  <si>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</si>
  <si>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</si>
  <si>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</si>
  <si>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</si>
  <si>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</si>
  <si>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</si>
  <si>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</si>
  <si>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</si>
  <si>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</si>
  <si>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</si>
  <si>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</si>
  <si>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</si>
  <si>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</si>
  <si>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</si>
  <si>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</si>
  <si>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</si>
  <si>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</si>
  <si>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</si>
  <si>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</si>
  <si>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</si>
  <si>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</si>
  <si>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</si>
  <si>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</si>
  <si>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</si>
  <si>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</si>
  <si>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</si>
  <si>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</si>
  <si>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</si>
  <si>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</si>
  <si>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</si>
  <si>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</si>
  <si>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</si>
  <si>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</si>
  <si>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</si>
  <si>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</si>
  <si>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</si>
  <si>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</si>
  <si>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</si>
  <si>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</si>
  <si>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</si>
  <si>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</si>
  <si>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</si>
  <si>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</si>
  <si>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</si>
  <si>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</si>
  <si>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</si>
  <si>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</si>
  <si>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</si>
  <si>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</si>
  <si>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</si>
  <si>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</si>
  <si>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</si>
  <si>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</si>
  <si>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</si>
  <si>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</si>
  <si>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</si>
  <si>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</si>
  <si>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</si>
  <si>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</si>
  <si>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</si>
  <si>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</si>
  <si>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</si>
  <si>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</si>
  <si>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</si>
  <si>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</si>
  <si>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</si>
  <si>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</si>
  <si>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</si>
  <si>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</si>
  <si>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</si>
  <si>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</si>
  <si>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</si>
  <si>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</si>
  <si>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</si>
  <si>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</si>
  <si>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</si>
  <si>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</si>
  <si>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</si>
  <si>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</si>
  <si>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</si>
  <si>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</si>
  <si>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</si>
  <si>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</si>
  <si>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</si>
  <si>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</si>
  <si>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</si>
  <si>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</si>
  <si>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</si>
  <si>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</si>
  <si>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</si>
  <si>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</si>
  <si>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</si>
  <si>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</si>
  <si>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</si>
  <si>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</si>
  <si>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</si>
  <si>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</si>
  <si>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</si>
  <si>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</si>
  <si>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</si>
  <si>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</si>
  <si>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</si>
  <si>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</si>
  <si>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</si>
  <si>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</si>
  <si>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</si>
  <si>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</si>
  <si>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</si>
  <si>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</si>
  <si>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</si>
  <si>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</si>
  <si>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</si>
  <si>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</si>
  <si>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</si>
  <si>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</si>
  <si>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</si>
  <si>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</si>
  <si>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</si>
  <si>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</si>
  <si>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</si>
  <si>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</si>
  <si>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</si>
  <si>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</si>
  <si>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</si>
  <si>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</si>
  <si>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</si>
  <si>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</si>
  <si>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</si>
  <si>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</si>
  <si>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</si>
  <si>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</si>
  <si>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</si>
  <si>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</si>
  <si>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</si>
  <si>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</si>
  <si>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</si>
  <si>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</si>
  <si>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</si>
  <si>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</si>
  <si>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</si>
  <si>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</si>
  <si>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</si>
  <si>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</si>
  <si>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</si>
  <si>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</si>
  <si>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</si>
  <si>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</si>
  <si>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</si>
  <si>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</si>
  <si>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</si>
  <si>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</si>
  <si>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</si>
  <si>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</si>
  <si>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</si>
  <si>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</si>
  <si>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</si>
  <si>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</si>
  <si>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</si>
  <si>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</si>
  <si>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</si>
  <si>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</si>
  <si>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</si>
  <si>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</si>
  <si>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</si>
  <si>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</si>
  <si>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</si>
  <si>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</si>
  <si>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</si>
  <si>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</si>
  <si>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</si>
  <si>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</si>
  <si>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</si>
  <si>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</si>
  <si>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</si>
  <si>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</si>
  <si>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</si>
  <si>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</si>
  <si>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</si>
  <si>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</si>
  <si>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</si>
  <si>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</si>
  <si>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</si>
  <si>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</si>
  <si>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</si>
  <si>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</si>
  <si>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</si>
  <si>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</si>
  <si>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</si>
  <si>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</si>
  <si>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</si>
  <si>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</si>
  <si>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</si>
  <si>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</si>
  <si>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</si>
  <si>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</si>
  <si>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</si>
  <si>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</si>
  <si>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</si>
  <si>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</si>
  <si>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</si>
  <si>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</si>
  <si>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</si>
  <si>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</si>
  <si>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</si>
  <si>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</si>
  <si>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</si>
  <si>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</si>
  <si>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</si>
  <si>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</si>
  <si>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</si>
  <si>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</si>
  <si>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</si>
  <si>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</si>
  <si>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</si>
  <si>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</si>
  <si>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</si>
  <si>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</si>
  <si>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</si>
  <si>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</si>
  <si>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</si>
  <si>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</si>
  <si>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</si>
  <si>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</si>
  <si>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</si>
  <si>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</si>
  <si>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</si>
  <si>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</si>
  <si>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</si>
  <si>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</si>
  <si>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</si>
  <si>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</si>
  <si>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</si>
  <si>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</si>
  <si>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</si>
  <si>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</si>
  <si>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</si>
  <si>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</si>
  <si>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</si>
  <si>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</si>
  <si>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</si>
  <si>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</si>
  <si>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</si>
  <si>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</si>
  <si>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</si>
  <si>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</si>
  <si>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</si>
  <si>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</si>
  <si>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</si>
  <si>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</si>
  <si>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</si>
  <si>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</si>
  <si>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</si>
  <si>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</si>
  <si>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</si>
  <si>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</si>
  <si>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</si>
  <si>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</si>
  <si>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</si>
  <si>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</si>
  <si>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</si>
  <si>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</si>
  <si>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</si>
  <si>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</si>
  <si>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</si>
  <si>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</si>
  <si>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</si>
  <si>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</si>
  <si>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</si>
  <si>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</si>
  <si>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</si>
  <si>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</si>
  <si>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</si>
  <si>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</si>
  <si>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</si>
  <si>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</si>
  <si>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</si>
  <si>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</si>
  <si>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</si>
  <si>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</si>
  <si>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</si>
  <si>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</si>
  <si>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</si>
  <si>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</si>
  <si>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</si>
  <si>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</si>
  <si>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</si>
  <si>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</si>
  <si>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</si>
  <si>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</si>
  <si>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</si>
  <si>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</si>
  <si>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</si>
  <si>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</si>
  <si>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</si>
  <si>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</si>
  <si>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</si>
  <si>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</si>
  <si>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</si>
  <si>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</si>
  <si>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</si>
  <si>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</si>
  <si>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</si>
  <si>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</si>
  <si>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</si>
  <si>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</si>
  <si>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</si>
  <si>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</si>
  <si>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</si>
  <si>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</si>
  <si>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</si>
  <si>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</si>
  <si>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</si>
  <si>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</si>
  <si>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</si>
  <si>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</si>
  <si>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</si>
  <si>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</si>
  <si>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</si>
  <si>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</si>
  <si>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</si>
  <si>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</si>
  <si>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</si>
  <si>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</si>
  <si>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</si>
  <si>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</si>
  <si>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</si>
  <si>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</si>
  <si>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</si>
  <si>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</si>
  <si>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</si>
  <si>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</si>
  <si>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</si>
  <si>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</si>
  <si>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</si>
  <si>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</si>
  <si>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</si>
  <si>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</si>
  <si>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</si>
  <si>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</si>
  <si>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</si>
  <si>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</si>
  <si>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</si>
  <si>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</si>
  <si>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</si>
  <si>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</si>
  <si>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</si>
  <si>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</si>
  <si>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</si>
  <si>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</si>
  <si>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</si>
  <si>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</si>
  <si>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</si>
  <si>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</si>
  <si>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</si>
  <si>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</si>
  <si>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</si>
  <si>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</si>
  <si>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</si>
  <si>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</si>
  <si>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</si>
  <si>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</si>
  <si>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</si>
  <si>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</si>
  <si>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</si>
  <si>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</si>
  <si>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</si>
  <si>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</si>
  <si>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</si>
  <si>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</si>
  <si>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</si>
  <si>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</si>
  <si>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</si>
  <si>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</si>
  <si>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</si>
  <si>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</si>
  <si>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</si>
  <si>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</si>
  <si>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</si>
  <si>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</si>
  <si>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</si>
  <si>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</si>
  <si>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</si>
  <si>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</si>
  <si>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</si>
  <si>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</si>
  <si>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</si>
  <si>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</si>
  <si>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</si>
  <si>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</si>
  <si>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</si>
  <si>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</si>
  <si>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</si>
  <si>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</si>
  <si>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</si>
  <si>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</si>
  <si>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</si>
  <si>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</si>
  <si>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</si>
  <si>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</si>
  <si>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</si>
  <si>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</si>
  <si>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</si>
  <si>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</si>
  <si>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</si>
  <si>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</si>
  <si>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</si>
  <si>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</si>
  <si>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</si>
  <si>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</si>
  <si>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</si>
  <si>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</si>
  <si>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</si>
  <si>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</si>
  <si>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</si>
  <si>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</si>
  <si>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</si>
  <si>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</si>
  <si>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</si>
  <si>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</si>
  <si>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</si>
  <si>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</si>
  <si>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</si>
  <si>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</si>
  <si>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</si>
  <si>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</si>
  <si>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</si>
  <si>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</si>
  <si>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</si>
  <si>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</si>
  <si>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</si>
  <si>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</si>
  <si>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</si>
  <si>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</si>
  <si>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</si>
  <si>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</si>
  <si>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</si>
  <si>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</si>
  <si>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</si>
  <si>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</si>
  <si>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</si>
  <si>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</si>
  <si>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</si>
  <si>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</si>
  <si>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</si>
  <si>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</si>
  <si>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</si>
  <si>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</si>
  <si>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</si>
  <si>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</si>
  <si>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</si>
  <si>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</si>
  <si>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</si>
  <si>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</si>
  <si>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</si>
  <si>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</si>
  <si>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</si>
  <si>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</si>
  <si>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</si>
  <si>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</si>
  <si>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</si>
  <si>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</si>
  <si>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</si>
  <si>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</si>
  <si>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</si>
  <si>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</si>
  <si>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</si>
  <si>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</si>
  <si>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</si>
  <si>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</si>
  <si>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</si>
  <si>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</si>
  <si>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</si>
  <si>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</si>
  <si>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</si>
  <si>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</si>
  <si>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</si>
  <si>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</si>
  <si>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</si>
  <si>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</si>
  <si>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</si>
  <si>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</si>
  <si>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</si>
  <si>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</si>
  <si>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</si>
  <si>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</si>
  <si>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</si>
  <si>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</si>
  <si>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</si>
  <si>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</si>
  <si>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</si>
  <si>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</si>
  <si>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</si>
  <si>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</si>
  <si>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</si>
  <si>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</si>
  <si>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</si>
  <si>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</si>
  <si>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</si>
  <si>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</si>
  <si>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</si>
  <si>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</si>
  <si>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</si>
  <si>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</si>
  <si>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</si>
  <si>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</si>
  <si>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</si>
  <si>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</si>
  <si>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</si>
  <si>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</si>
  <si>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</si>
  <si>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</si>
  <si>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</si>
  <si>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</si>
  <si>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</si>
  <si>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</si>
  <si>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</si>
  <si>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</si>
  <si>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</si>
  <si>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</si>
  <si>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</si>
  <si>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</si>
  <si>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</si>
  <si>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</si>
  <si>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</si>
  <si>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</si>
  <si>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</si>
  <si>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</si>
  <si>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</si>
  <si>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</si>
  <si>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</si>
  <si>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</si>
  <si>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</si>
  <si>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</si>
  <si>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</si>
  <si>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</si>
  <si>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</si>
  <si>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</si>
  <si>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</si>
  <si>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</si>
  <si>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</si>
  <si>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</si>
  <si>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</si>
  <si>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</si>
  <si>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</si>
  <si>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</si>
  <si>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</si>
  <si>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</si>
  <si>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</si>
  <si>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</si>
  <si>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</si>
  <si>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</si>
  <si>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</si>
  <si>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</si>
  <si>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</si>
  <si>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</si>
  <si>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</si>
  <si>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</si>
  <si>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</si>
  <si>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</si>
  <si>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</si>
  <si>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</si>
  <si>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</si>
  <si>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</si>
  <si>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</si>
  <si>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</si>
  <si>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</si>
  <si>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</si>
  <si>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</si>
  <si>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</si>
  <si>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</si>
  <si>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</si>
  <si>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</si>
  <si>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</si>
  <si>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</si>
  <si>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</si>
  <si>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</si>
  <si>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</si>
  <si>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</si>
  <si>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</si>
  <si>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</si>
  <si>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</si>
  <si>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</si>
  <si>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</si>
  <si>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</si>
  <si>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</si>
  <si>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</si>
  <si>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</si>
  <si>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</si>
  <si>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</si>
  <si>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</si>
  <si>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</si>
  <si>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</si>
  <si>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</si>
  <si>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</si>
  <si>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</si>
  <si>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</si>
  <si>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</si>
  <si>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</si>
  <si>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</si>
  <si>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</si>
  <si>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</si>
  <si>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</si>
  <si>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</si>
  <si>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</si>
  <si>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</si>
  <si>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</si>
  <si>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</si>
  <si>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</si>
  <si>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</si>
  <si>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</si>
  <si>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</si>
  <si>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</si>
  <si>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</si>
  <si>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</si>
  <si>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</si>
  <si>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</si>
  <si>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</si>
  <si>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</si>
  <si>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</si>
  <si>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</si>
  <si>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</si>
  <si>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</si>
  <si>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</si>
  <si>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</si>
  <si>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</si>
  <si>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</si>
  <si>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</si>
  <si>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</si>
  <si>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</si>
  <si>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</si>
  <si>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</si>
  <si>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</si>
  <si>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</si>
  <si>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</si>
  <si>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</si>
  <si>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</si>
  <si>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</si>
  <si>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</si>
  <si>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</si>
  <si>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</si>
  <si>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</si>
  <si>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</si>
  <si>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</si>
  <si>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</si>
  <si>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</si>
  <si>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</si>
  <si>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</si>
  <si>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</si>
  <si>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</si>
  <si>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</si>
  <si>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</si>
  <si>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</si>
  <si>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</si>
  <si>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</si>
  <si>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</si>
  <si>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</si>
  <si>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</si>
  <si>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</si>
  <si>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</si>
  <si>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</si>
  <si>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</si>
  <si>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</si>
  <si>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</si>
  <si>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</si>
  <si>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</si>
  <si>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</si>
  <si>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</si>
  <si>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</si>
  <si>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</si>
  <si>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</si>
  <si>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</si>
  <si>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</si>
  <si>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</si>
  <si>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</si>
  <si>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</si>
  <si>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</si>
  <si>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</si>
  <si>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</si>
  <si>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</si>
  <si>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</si>
  <si>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</si>
  <si>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</si>
  <si>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</si>
  <si>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</si>
  <si>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</si>
  <si>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</si>
  <si>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</si>
  <si>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</si>
  <si>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</si>
  <si>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</si>
  <si>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</si>
  <si>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</si>
  <si>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</si>
  <si>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</si>
  <si>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</si>
  <si>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</si>
  <si>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</si>
  <si>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</si>
  <si>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</si>
  <si>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</si>
  <si>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</si>
  <si>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</si>
  <si>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</si>
  <si>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</si>
  <si>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</si>
  <si>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</si>
  <si>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</si>
  <si>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</si>
  <si>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</si>
  <si>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</si>
  <si>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</si>
  <si>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</si>
  <si>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</si>
  <si>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</si>
  <si>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</si>
  <si>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</si>
  <si>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</si>
  <si>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</si>
  <si>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</si>
  <si>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</si>
  <si>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</si>
  <si>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</si>
  <si>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</si>
  <si>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</si>
  <si>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</si>
  <si>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</si>
  <si>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</si>
  <si>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</si>
  <si>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</si>
  <si>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</si>
  <si>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</si>
  <si>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</si>
  <si>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</si>
  <si>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</si>
  <si>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</si>
  <si>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</si>
  <si>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</si>
  <si>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</si>
  <si>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</si>
  <si>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</si>
  <si>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</si>
  <si>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</si>
  <si>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</si>
  <si>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</si>
  <si>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</si>
  <si>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</si>
  <si>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</si>
  <si>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</si>
  <si>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</si>
  <si>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</si>
  <si>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</si>
  <si>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</si>
  <si>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</si>
  <si>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</si>
  <si>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</si>
  <si>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</si>
  <si>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</si>
  <si>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</si>
  <si>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</si>
  <si>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</si>
  <si>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</si>
  <si>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</si>
  <si>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</si>
  <si>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</si>
  <si>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</si>
  <si>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</si>
  <si>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</si>
  <si>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</si>
  <si>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</si>
  <si>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</si>
  <si>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</si>
  <si>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</si>
  <si>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</si>
  <si>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</si>
  <si>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</si>
  <si>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</si>
  <si>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</si>
  <si>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</si>
  <si>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</si>
  <si>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</si>
  <si>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</si>
  <si>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</si>
  <si>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</si>
  <si>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</si>
  <si>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</si>
  <si>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</si>
  <si>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</si>
  <si>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</si>
  <si>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</si>
  <si>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</si>
  <si>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</si>
  <si>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</si>
  <si>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</si>
  <si>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</si>
  <si>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</si>
  <si>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</si>
  <si>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</si>
  <si>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</si>
  <si>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</si>
  <si>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</si>
  <si>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</si>
  <si>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</si>
  <si>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</si>
  <si>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</si>
  <si>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</si>
  <si>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</si>
  <si>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</si>
  <si>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</si>
  <si>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</si>
  <si>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</si>
  <si>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</si>
  <si>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</si>
  <si>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</si>
  <si>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</si>
  <si>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</si>
  <si>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</si>
  <si>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</si>
  <si>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</si>
  <si>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</si>
  <si>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</si>
  <si>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</si>
  <si>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</si>
  <si>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</si>
  <si>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</si>
  <si>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</si>
  <si>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</si>
  <si>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</si>
  <si>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</si>
  <si>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</si>
  <si>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</si>
  <si>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</si>
  <si>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</si>
  <si>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</si>
  <si>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</si>
  <si>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</si>
  <si>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</si>
  <si>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</si>
  <si>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</si>
  <si>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</si>
  <si>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</si>
  <si>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</si>
  <si>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</si>
  <si>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</si>
  <si>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</si>
  <si>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</si>
  <si>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</si>
  <si>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</si>
  <si>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</si>
  <si>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</si>
  <si>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</si>
  <si>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</si>
  <si>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</si>
  <si>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</si>
  <si>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</si>
  <si>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</si>
  <si>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</si>
  <si>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</si>
  <si>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</si>
  <si>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</si>
  <si>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</si>
  <si>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</si>
  <si>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</si>
  <si>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</si>
  <si>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</si>
  <si>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</si>
  <si>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</si>
  <si>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</si>
  <si>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</si>
  <si>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</si>
  <si>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</si>
  <si>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</si>
  <si>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</si>
  <si>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</si>
  <si>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</si>
  <si>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</si>
  <si>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</si>
  <si>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</si>
  <si>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</si>
  <si>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</si>
  <si>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</si>
  <si>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</si>
  <si>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</si>
  <si>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</si>
  <si>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</si>
  <si>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</si>
  <si>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</si>
  <si>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</si>
  <si>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</si>
  <si>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</si>
  <si>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</si>
  <si>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</si>
  <si>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</si>
  <si>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</si>
  <si>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</si>
  <si>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</si>
  <si>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</si>
  <si>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</si>
  <si>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</si>
  <si>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</si>
  <si>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</si>
  <si>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</si>
  <si>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</si>
  <si>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</si>
  <si>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</si>
  <si>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</si>
  <si>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</si>
  <si>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</si>
  <si>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</si>
  <si>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</si>
  <si>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</si>
  <si>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</si>
  <si>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</si>
  <si>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</si>
  <si>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</si>
  <si>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</si>
  <si>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</si>
  <si>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</si>
  <si>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</si>
  <si>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</si>
  <si>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</si>
  <si>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</si>
  <si>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</si>
  <si>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</si>
  <si>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</si>
  <si>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</si>
  <si>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</si>
  <si>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</si>
  <si>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</si>
  <si>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</si>
  <si>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</si>
  <si>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</si>
  <si>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</si>
  <si>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</si>
  <si>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</si>
  <si>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</si>
  <si>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</si>
  <si>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</si>
  <si>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</si>
  <si>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</si>
  <si>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</si>
  <si>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</si>
  <si>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</si>
  <si>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</si>
  <si>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</si>
  <si>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</si>
  <si>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</si>
  <si>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</si>
  <si>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</si>
  <si>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</si>
  <si>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</si>
  <si>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</si>
  <si>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</si>
  <si>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</si>
  <si>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</si>
  <si>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</si>
  <si>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</si>
  <si>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</si>
  <si>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</si>
  <si>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</si>
  <si>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</si>
  <si>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</si>
  <si>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</si>
  <si>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</si>
  <si>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</si>
  <si>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</si>
  <si>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</si>
  <si>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</si>
  <si>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</si>
  <si>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</si>
  <si>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</si>
  <si>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</si>
  <si>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</si>
  <si>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</si>
  <si>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</si>
  <si>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</si>
  <si>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</si>
  <si>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</si>
  <si>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</si>
  <si>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</si>
  <si>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</si>
  <si>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</si>
  <si>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</si>
  <si>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</si>
  <si>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</si>
  <si>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</si>
  <si>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</si>
  <si>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</si>
  <si>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</si>
  <si>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</si>
  <si>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</si>
  <si>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</si>
  <si>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</si>
  <si>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</si>
  <si>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</si>
  <si>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</si>
  <si>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</si>
  <si>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</si>
  <si>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</si>
  <si>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</si>
  <si>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</si>
  <si>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</si>
  <si>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</si>
  <si>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</si>
  <si>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</si>
  <si>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</si>
  <si>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</si>
  <si>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</si>
  <si>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</si>
  <si>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</si>
  <si>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</si>
  <si>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</si>
  <si>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</si>
  <si>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</si>
  <si>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</si>
  <si>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</si>
  <si>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</si>
  <si>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</si>
  <si>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</si>
  <si>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</si>
  <si>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</si>
  <si>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</si>
  <si>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</si>
  <si>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</si>
  <si>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</si>
  <si>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</si>
  <si>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</si>
  <si>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</si>
  <si>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</si>
  <si>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</si>
  <si>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</si>
  <si>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</si>
  <si>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</si>
  <si>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</si>
  <si>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</si>
  <si>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</si>
  <si>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</si>
  <si>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</si>
  <si>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</si>
  <si>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</si>
  <si>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</si>
  <si>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</si>
  <si>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</si>
  <si>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</si>
  <si>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</si>
  <si>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</si>
  <si>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</si>
  <si>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</si>
  <si>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</si>
  <si>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</si>
  <si>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</si>
  <si>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</si>
  <si>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</si>
  <si>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</si>
  <si>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</si>
  <si>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</si>
  <si>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</si>
  <si>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</si>
  <si>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</si>
  <si>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</si>
  <si>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</si>
  <si>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</si>
  <si>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</si>
  <si>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</si>
  <si>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</si>
  <si>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</si>
  <si>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</si>
  <si>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</si>
  <si>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</si>
  <si>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</si>
  <si>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</si>
  <si>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</si>
  <si>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</si>
  <si>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</si>
  <si>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</si>
  <si>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</si>
  <si>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</si>
  <si>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</si>
  <si>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</si>
  <si>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</si>
  <si>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</si>
  <si>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</si>
  <si>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</si>
  <si>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</si>
  <si>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</si>
  <si>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</si>
  <si>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</si>
  <si>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</si>
  <si>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</si>
  <si>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</si>
  <si>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</si>
  <si>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</si>
  <si>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</si>
  <si>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</si>
  <si>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</si>
  <si>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</si>
  <si>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</si>
  <si>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</si>
  <si>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</si>
  <si>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</si>
  <si>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</si>
  <si>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</si>
  <si>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</si>
  <si>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</si>
  <si>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</si>
  <si>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</si>
  <si>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</si>
  <si>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</si>
  <si>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</si>
  <si>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</si>
  <si>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</si>
  <si>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</si>
  <si>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</si>
  <si>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</si>
  <si>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</si>
  <si>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</si>
  <si>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</si>
  <si>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</si>
  <si>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</si>
  <si>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</si>
  <si>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</si>
  <si>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</si>
  <si>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</si>
  <si>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</si>
  <si>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</si>
  <si>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</si>
  <si>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</si>
  <si>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</si>
  <si>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</si>
  <si>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</si>
  <si>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</si>
  <si>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</si>
  <si>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</si>
  <si>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</si>
  <si>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</si>
  <si>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</si>
  <si>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</si>
  <si>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</si>
  <si>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</si>
  <si>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</si>
  <si>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</si>
  <si>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</si>
  <si>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</si>
  <si>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</si>
  <si>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</si>
  <si>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</si>
  <si>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</si>
  <si>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</si>
  <si>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</si>
  <si>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</si>
  <si>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</si>
  <si>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</si>
  <si>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</si>
  <si>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</si>
  <si>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</si>
  <si>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</si>
  <si>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</si>
  <si>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</si>
  <si>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</si>
  <si>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</si>
  <si>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</si>
  <si>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</si>
  <si>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</si>
  <si>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</si>
  <si>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</si>
  <si>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</si>
  <si>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</si>
  <si>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</si>
  <si>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</si>
  <si>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</si>
  <si>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</si>
  <si>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</si>
  <si>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</si>
  <si>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</si>
  <si>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</si>
  <si>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</si>
  <si>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</si>
  <si>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</si>
  <si>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</si>
  <si>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</si>
  <si>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</si>
  <si>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</si>
  <si>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</si>
  <si>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</si>
  <si>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</si>
  <si>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</si>
  <si>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</si>
  <si>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</si>
  <si>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</si>
  <si>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</si>
  <si>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</si>
  <si>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</si>
  <si>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</si>
  <si>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</si>
  <si>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</si>
  <si>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</si>
  <si>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</si>
  <si>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</si>
  <si>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</si>
  <si>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</si>
  <si>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</si>
  <si>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</si>
  <si>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</si>
  <si>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</si>
  <si>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</si>
  <si>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</si>
  <si>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</si>
  <si>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</si>
  <si>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</si>
  <si>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</si>
  <si>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</si>
  <si>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</si>
  <si>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</si>
  <si>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</si>
  <si>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</si>
  <si>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</si>
  <si>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</si>
  <si>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</si>
  <si>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</si>
  <si>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</si>
  <si>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</si>
  <si>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</si>
  <si>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</si>
  <si>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</si>
  <si>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</si>
  <si>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</si>
  <si>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</si>
  <si>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</si>
  <si>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</si>
  <si>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</si>
  <si>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</si>
  <si>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</si>
  <si>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</si>
  <si>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</si>
  <si>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</si>
  <si>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</si>
  <si>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</si>
  <si>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</si>
  <si>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</si>
  <si>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</si>
  <si>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</si>
  <si>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</si>
  <si>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</si>
  <si>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</si>
  <si>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</si>
  <si>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</si>
  <si>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</si>
  <si>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</si>
  <si>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</si>
  <si>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</si>
  <si>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</si>
  <si>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</si>
  <si>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</si>
  <si>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</si>
  <si>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</si>
  <si>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</si>
  <si>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</si>
  <si>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</si>
  <si>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</si>
  <si>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</si>
  <si>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</si>
  <si>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</si>
  <si>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</si>
  <si>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</si>
  <si>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</si>
  <si>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</si>
  <si>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</si>
  <si>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</si>
  <si>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</si>
  <si>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</si>
  <si>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</si>
  <si>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</si>
  <si>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</si>
  <si>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</si>
  <si>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</si>
  <si>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</si>
  <si>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</si>
  <si>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</si>
  <si>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</si>
  <si>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</si>
  <si>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</si>
  <si>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</si>
  <si>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</si>
  <si>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</si>
  <si>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</si>
  <si>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</si>
  <si>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</si>
  <si>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</si>
  <si>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</si>
  <si>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</si>
  <si>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</si>
  <si>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</si>
  <si>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</si>
  <si>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</si>
  <si>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</si>
  <si>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</si>
  <si>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</si>
  <si>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</si>
  <si>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</si>
  <si>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</si>
  <si>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</si>
  <si>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</si>
  <si>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</si>
  <si>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</si>
  <si>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</si>
  <si>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</si>
  <si>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</si>
  <si>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</si>
  <si>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</si>
  <si>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</si>
  <si>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</si>
  <si>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</si>
  <si>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</si>
  <si>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</si>
  <si>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</si>
  <si>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</si>
  <si>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</si>
  <si>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</si>
  <si>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</si>
  <si>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</si>
  <si>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</si>
  <si>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</si>
  <si>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</si>
  <si>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</si>
  <si>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</si>
  <si>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</si>
  <si>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</si>
  <si>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</si>
  <si>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</si>
  <si>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</si>
  <si>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</si>
  <si>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</si>
  <si>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</si>
  <si>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</si>
  <si>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</si>
  <si>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</si>
  <si>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</si>
  <si>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</si>
  <si>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</si>
  <si>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</si>
  <si>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</si>
  <si>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</si>
  <si>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</si>
  <si>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</si>
  <si>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</si>
  <si>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</si>
  <si>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</si>
  <si>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</si>
  <si>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</si>
  <si>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</si>
  <si>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</si>
  <si>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</si>
  <si>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</si>
  <si>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</si>
  <si>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</si>
  <si>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</si>
  <si>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</si>
  <si>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</si>
  <si>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</si>
  <si>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</si>
  <si>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</si>
  <si>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</si>
  <si>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</si>
  <si>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</si>
  <si>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</si>
  <si>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</si>
  <si>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</si>
  <si>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</si>
  <si>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</si>
  <si>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</si>
  <si>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</si>
  <si>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</si>
  <si>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</si>
  <si>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</si>
  <si>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</si>
  <si>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</si>
  <si>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</si>
  <si>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</si>
  <si>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</si>
  <si>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</si>
  <si>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</si>
  <si>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</si>
  <si>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</si>
  <si>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</si>
  <si>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</si>
  <si>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</si>
  <si>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</si>
  <si>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</si>
  <si>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</si>
  <si>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</si>
  <si>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</si>
  <si>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</si>
  <si>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</si>
  <si>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</si>
  <si>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</si>
  <si>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</si>
  <si>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</si>
  <si>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</si>
  <si>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</si>
  <si>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</si>
  <si>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</si>
  <si>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</si>
  <si>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</si>
  <si>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</si>
  <si>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</si>
  <si>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</si>
  <si>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</si>
  <si>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</si>
  <si>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</si>
  <si>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</si>
  <si>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</si>
  <si>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</si>
  <si>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</si>
  <si>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</si>
  <si>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</si>
  <si>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</si>
  <si>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</si>
  <si>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</si>
  <si>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</si>
  <si>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</si>
  <si>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</si>
  <si>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</si>
  <si>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</si>
  <si>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</si>
  <si>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</si>
  <si>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</si>
  <si>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</si>
  <si>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</si>
  <si>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</si>
  <si>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</si>
  <si>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</si>
  <si>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</si>
  <si>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</si>
  <si>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</si>
  <si>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</si>
  <si>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</si>
  <si>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</si>
  <si>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</si>
  <si>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</si>
  <si>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</si>
  <si>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</si>
  <si>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</si>
  <si>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</si>
  <si>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</si>
  <si>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</si>
  <si>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</si>
  <si>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</si>
  <si>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</si>
  <si>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</si>
  <si>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</si>
  <si>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</si>
  <si>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</si>
  <si>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</si>
  <si>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</si>
  <si>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</si>
  <si>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</si>
  <si>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</si>
  <si>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</si>
  <si>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</si>
  <si>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</si>
  <si>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</si>
  <si>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</si>
  <si>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</si>
  <si>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</si>
  <si>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</si>
  <si>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</si>
  <si>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</si>
  <si>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</si>
  <si>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</si>
  <si>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</si>
  <si>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</si>
  <si>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</si>
  <si>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</si>
  <si>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</si>
  <si>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</si>
  <si>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</si>
  <si>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</si>
  <si>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</si>
  <si>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</si>
  <si>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</si>
  <si>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</si>
  <si>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</si>
  <si>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</si>
  <si>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</si>
  <si>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</si>
  <si>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</si>
  <si>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</si>
  <si>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</si>
  <si>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</si>
  <si>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</si>
  <si>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</si>
  <si>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</si>
  <si>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</si>
  <si>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</si>
  <si>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</si>
  <si>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</si>
  <si>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</si>
  <si>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</si>
  <si>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</si>
  <si>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</si>
  <si>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</si>
  <si>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</si>
  <si>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</si>
  <si>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</si>
  <si>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</si>
  <si>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</si>
  <si>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</si>
  <si>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</si>
  <si>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</si>
  <si>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</si>
  <si>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</si>
  <si>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</si>
  <si>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</si>
  <si>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</si>
  <si>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</si>
  <si>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</si>
  <si>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</si>
  <si>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</si>
  <si>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</si>
  <si>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</si>
  <si>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</si>
  <si>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</si>
  <si>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</si>
  <si>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</si>
  <si>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</si>
  <si>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</si>
  <si>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</si>
  <si>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</si>
  <si>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</si>
  <si>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</si>
  <si>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</si>
  <si>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</si>
  <si>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</si>
  <si>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</si>
  <si>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</si>
  <si>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</si>
  <si>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</si>
  <si>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</si>
  <si>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</si>
  <si>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</si>
  <si>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</si>
  <si>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</si>
  <si>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</si>
  <si>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</si>
  <si>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</si>
  <si>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</si>
  <si>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</si>
  <si>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</si>
  <si>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</si>
  <si>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</si>
  <si>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</si>
  <si>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</si>
  <si>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</si>
  <si>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</si>
  <si>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</si>
  <si>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</si>
  <si>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</si>
  <si>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</si>
  <si>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</si>
  <si>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</si>
  <si>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</si>
  <si>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</si>
  <si>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</si>
  <si>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</si>
  <si>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</si>
  <si>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</si>
  <si>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</si>
  <si>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</si>
  <si>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</si>
  <si>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</si>
  <si>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</si>
  <si>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</si>
  <si>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</si>
  <si>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</si>
  <si>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</si>
  <si>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</si>
  <si>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</si>
  <si>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</si>
  <si>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</si>
  <si>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</si>
  <si>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</si>
  <si>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</si>
  <si>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</si>
  <si>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</si>
  <si>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</si>
  <si>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</si>
  <si>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</si>
  <si>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</si>
  <si>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</si>
  <si>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</si>
  <si>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</si>
  <si>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</si>
  <si>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</si>
  <si>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</si>
  <si>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</si>
  <si>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</si>
  <si>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</si>
  <si>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</si>
  <si>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</si>
  <si>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</si>
  <si>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</si>
  <si>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</si>
  <si>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</si>
  <si>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</si>
  <si>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</si>
  <si>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</si>
  <si>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</si>
  <si>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</si>
  <si>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</si>
  <si>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</si>
  <si>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</si>
  <si>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</si>
  <si>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</si>
  <si>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</si>
  <si>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</si>
  <si>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</si>
  <si>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</si>
  <si>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</si>
  <si>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</si>
  <si>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</si>
  <si>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</si>
  <si>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</si>
  <si>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</si>
  <si>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</si>
  <si>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</si>
  <si>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</si>
  <si>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</si>
  <si>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</si>
  <si>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</si>
  <si>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</si>
  <si>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</si>
  <si>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</si>
  <si>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</si>
  <si>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</si>
  <si>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</si>
  <si>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</si>
  <si>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</si>
  <si>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</si>
  <si>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</si>
  <si>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</si>
  <si>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</si>
  <si>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</si>
  <si>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</si>
  <si>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</si>
  <si>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</si>
  <si>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</si>
  <si>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</si>
  <si>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</si>
  <si>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</si>
  <si>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</si>
  <si>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</si>
  <si>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</si>
  <si>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</si>
  <si>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</si>
  <si>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</si>
  <si>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</si>
  <si>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</si>
  <si>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</si>
  <si>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</si>
  <si>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</si>
  <si>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</si>
  <si>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</si>
  <si>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</si>
  <si>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</si>
  <si>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</si>
  <si>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</si>
  <si>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</si>
  <si>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</si>
  <si>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</si>
  <si>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</si>
  <si>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</si>
  <si>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</si>
  <si>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</si>
  <si>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</si>
  <si>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</si>
  <si>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</si>
  <si>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</si>
  <si>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</si>
  <si>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</si>
  <si>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</si>
  <si>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</si>
  <si>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</si>
  <si>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</si>
  <si>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</si>
  <si>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</si>
  <si>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</si>
  <si>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</si>
  <si>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</si>
  <si>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</si>
  <si>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</si>
  <si>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</si>
  <si>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</si>
  <si>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</si>
  <si>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</si>
  <si>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</si>
  <si>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</si>
  <si>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</si>
  <si>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</si>
  <si>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</si>
  <si>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</si>
  <si>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</si>
  <si>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</si>
  <si>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</si>
  <si>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</si>
  <si>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</si>
  <si>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</si>
  <si>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</si>
  <si>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</si>
  <si>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</si>
  <si>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</si>
  <si>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</si>
  <si>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</si>
  <si>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</si>
  <si>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</si>
  <si>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</si>
  <si>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</si>
  <si>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</si>
  <si>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</si>
  <si>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</si>
  <si>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</si>
  <si>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</si>
  <si>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</si>
  <si>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</si>
  <si>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</si>
  <si>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</si>
  <si>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</si>
  <si>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</si>
  <si>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</si>
  <si>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</si>
  <si>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</si>
  <si>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</si>
  <si>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</si>
  <si>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</si>
  <si>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</si>
  <si>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</si>
  <si>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</si>
  <si>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</si>
  <si>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</si>
  <si>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</si>
  <si>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</si>
  <si>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</si>
  <si>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</si>
  <si>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</si>
  <si>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</si>
  <si>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</si>
  <si>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</si>
  <si>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</si>
  <si>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</si>
  <si>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</si>
  <si>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</si>
  <si>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</si>
  <si>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</si>
  <si>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</si>
  <si>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</si>
  <si>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</si>
  <si>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</si>
  <si>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</si>
  <si>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</si>
  <si>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</si>
  <si>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</si>
  <si>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</si>
  <si>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</si>
  <si>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</si>
  <si>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</si>
  <si>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</si>
  <si>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</si>
  <si>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</si>
  <si>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</si>
  <si>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</si>
  <si>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</si>
  <si>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</si>
  <si>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</si>
  <si>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</si>
  <si>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</si>
  <si>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</si>
  <si>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</si>
  <si>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</si>
  <si>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</si>
  <si>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</si>
  <si>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</si>
  <si>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</si>
  <si>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</si>
  <si>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</si>
  <si>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</si>
  <si>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</si>
  <si>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</si>
  <si>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</si>
  <si>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</si>
  <si>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</si>
  <si>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</si>
  <si>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</si>
  <si>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</si>
  <si>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</si>
  <si>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</si>
  <si>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</si>
  <si>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</si>
  <si>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</si>
  <si>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</si>
  <si>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</si>
  <si>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</si>
  <si>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</si>
  <si>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</si>
  <si>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</si>
  <si>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</si>
  <si>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</si>
  <si>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</si>
  <si>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</si>
  <si>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</si>
  <si>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</si>
  <si>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</si>
  <si>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</si>
  <si>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</si>
  <si>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</si>
  <si>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</si>
  <si>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</si>
  <si>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</si>
  <si>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</si>
  <si>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</si>
  <si>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</si>
  <si>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</si>
  <si>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</si>
  <si>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</si>
  <si>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</si>
  <si>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</si>
  <si>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</si>
  <si>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</si>
  <si>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</si>
  <si>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</si>
  <si>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</si>
  <si>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</si>
  <si>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</si>
  <si>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</si>
  <si>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</si>
  <si>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</si>
  <si>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</si>
  <si>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</si>
  <si>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</si>
  <si>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</si>
  <si>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</si>
  <si>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</si>
  <si>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</si>
  <si>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</si>
  <si>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</si>
  <si>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</si>
  <si>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</si>
  <si>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</si>
  <si>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</si>
  <si>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</si>
  <si>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</si>
  <si>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</si>
  <si>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</si>
  <si>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</si>
  <si>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</si>
  <si>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</si>
  <si>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</si>
  <si>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</si>
  <si>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</si>
  <si>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</si>
  <si>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</si>
  <si>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</si>
  <si>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</si>
  <si>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</si>
  <si>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</si>
  <si>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</si>
  <si>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</si>
  <si>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</si>
  <si>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</si>
  <si>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</si>
  <si>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</si>
  <si>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</si>
  <si>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</si>
  <si>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</si>
  <si>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</si>
  <si>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</si>
  <si>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</si>
  <si>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</si>
  <si>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</si>
  <si>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</si>
  <si>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</si>
  <si>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</si>
  <si>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</si>
  <si>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</si>
  <si>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</si>
  <si>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</si>
  <si>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</si>
  <si>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</si>
  <si>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</si>
  <si>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</si>
  <si>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</si>
  <si>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</si>
  <si>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</si>
  <si>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</si>
  <si>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</si>
  <si>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</si>
  <si>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</si>
  <si>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</si>
  <si>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</si>
  <si>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</si>
  <si>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</si>
  <si>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</si>
  <si>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</si>
  <si>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</si>
  <si>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</si>
  <si>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</si>
  <si>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</si>
  <si>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</si>
  <si>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</si>
  <si>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</si>
  <si>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</si>
  <si>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</si>
  <si>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</si>
  <si>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</si>
  <si>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</si>
  <si>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</si>
  <si>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</si>
  <si>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</si>
  <si>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</si>
  <si>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</si>
  <si>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</si>
  <si>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</si>
  <si>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</si>
  <si>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</si>
  <si>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</si>
  <si>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</si>
  <si>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</si>
  <si>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</si>
  <si>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</si>
  <si>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</si>
  <si>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</si>
  <si>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</si>
  <si>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</si>
  <si>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</si>
  <si>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</si>
  <si>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</si>
  <si>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</si>
  <si>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</si>
  <si>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</si>
  <si>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</si>
  <si>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</si>
  <si>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</si>
  <si>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</si>
  <si>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</si>
  <si>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</si>
  <si>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</si>
  <si>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</si>
  <si>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</si>
  <si>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</si>
  <si>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</si>
  <si>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</si>
  <si>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</si>
  <si>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</si>
  <si>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</si>
  <si>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</si>
  <si>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</si>
  <si>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</si>
  <si>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</si>
  <si>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</si>
  <si>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</si>
  <si>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</si>
  <si>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</si>
  <si>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</si>
  <si>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</si>
  <si>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</si>
  <si>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</si>
  <si>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</si>
  <si>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</si>
  <si>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</si>
  <si>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</si>
  <si>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</si>
  <si>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</si>
  <si>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</si>
  <si>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</si>
  <si>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</si>
  <si>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</si>
  <si>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</si>
  <si>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</si>
  <si>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</si>
  <si>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</si>
  <si>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</si>
  <si>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</si>
  <si>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</si>
  <si>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</si>
  <si>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</si>
  <si>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</si>
  <si>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</si>
  <si>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</si>
  <si>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</si>
  <si>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</si>
  <si>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</si>
  <si>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</si>
  <si>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</si>
  <si>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</si>
  <si>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</si>
  <si>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</si>
  <si>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</si>
  <si>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</si>
  <si>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</si>
  <si>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</si>
  <si>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</si>
  <si>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</si>
  <si>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</si>
  <si>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</si>
  <si>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</si>
  <si>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</si>
  <si>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</si>
  <si>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</si>
  <si>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</si>
  <si>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</si>
  <si>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</si>
  <si>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</si>
  <si>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</si>
  <si>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</si>
  <si>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</si>
  <si>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</si>
  <si>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</si>
  <si>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</si>
  <si>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</si>
  <si>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</si>
  <si>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</si>
  <si>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</si>
  <si>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</si>
  <si>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</si>
  <si>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</si>
  <si>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</si>
  <si>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</si>
  <si>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</si>
  <si>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</si>
  <si>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</si>
  <si>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</si>
  <si>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</si>
  <si>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</si>
  <si>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</si>
  <si>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</si>
  <si>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</si>
  <si>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</si>
  <si>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</si>
  <si>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</si>
  <si>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</si>
  <si>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</si>
  <si>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</si>
  <si>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</si>
  <si>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</si>
  <si>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</si>
  <si>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</si>
  <si>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</si>
  <si>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</si>
  <si>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</si>
  <si>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</si>
  <si>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</si>
  <si>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</si>
  <si>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</si>
  <si>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</si>
  <si>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</si>
  <si>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</si>
  <si>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</si>
  <si>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</si>
  <si>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</si>
  <si>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</si>
  <si>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</si>
  <si>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</si>
  <si>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</si>
  <si>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</si>
  <si>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</si>
  <si>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</si>
  <si>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</si>
  <si>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</si>
  <si>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</si>
  <si>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</si>
  <si>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</si>
  <si>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</si>
  <si>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</si>
  <si>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</si>
  <si>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</si>
  <si>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</si>
  <si>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</si>
  <si>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</si>
  <si>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</si>
  <si>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</si>
  <si>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</si>
  <si>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</si>
  <si>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</si>
  <si>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</si>
  <si>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</si>
  <si>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</si>
  <si>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</si>
  <si>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</si>
  <si>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</si>
  <si>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</si>
  <si>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</si>
  <si>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</si>
  <si>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</si>
  <si>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</si>
  <si>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</si>
  <si>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</si>
  <si>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</si>
  <si>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</si>
  <si>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</si>
  <si>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</si>
  <si>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</si>
  <si>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</si>
  <si>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</si>
  <si>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</si>
  <si>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</si>
  <si>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</si>
  <si>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</si>
  <si>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</si>
  <si>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</si>
  <si>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</si>
  <si>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</si>
  <si>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</si>
  <si>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</si>
  <si>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</si>
  <si>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</si>
  <si>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</si>
  <si>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</si>
  <si>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</si>
  <si>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</si>
  <si>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</si>
  <si>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</si>
  <si>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</si>
  <si>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</si>
  <si>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</si>
  <si>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</si>
  <si>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</si>
  <si>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</si>
  <si>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</si>
  <si>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</si>
  <si>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</si>
  <si>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</si>
  <si>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</si>
  <si>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</si>
  <si>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</si>
  <si>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</si>
  <si>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</si>
  <si>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</si>
  <si>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</si>
  <si>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</si>
  <si>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</si>
  <si>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</si>
  <si>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</si>
  <si>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</si>
  <si>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</si>
  <si>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</si>
  <si>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</si>
  <si>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</si>
  <si>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</si>
  <si>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</si>
  <si>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</si>
  <si>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</si>
  <si>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</si>
  <si>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</si>
  <si>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</si>
  <si>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</si>
  <si>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</si>
  <si>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</si>
  <si>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</si>
  <si>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</si>
  <si>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</si>
  <si>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</si>
  <si>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</si>
  <si>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</si>
  <si>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</si>
  <si>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</si>
  <si>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</si>
  <si>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</si>
  <si>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</si>
  <si>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</si>
  <si>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</si>
  <si>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</si>
  <si>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</si>
  <si>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</si>
  <si>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</si>
  <si>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</si>
  <si>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</si>
  <si>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</si>
  <si>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</si>
  <si>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</si>
  <si>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</si>
  <si>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</si>
  <si>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</si>
  <si>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</si>
  <si>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</si>
  <si>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</si>
  <si>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</si>
  <si>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</si>
  <si>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</si>
  <si>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</si>
  <si>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</si>
  <si>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</si>
  <si>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</si>
  <si>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</si>
  <si>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</si>
  <si>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</si>
  <si>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</si>
  <si>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</si>
  <si>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</si>
  <si>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</si>
  <si>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</si>
  <si>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</si>
  <si>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</si>
  <si>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</si>
  <si>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</si>
  <si>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</si>
  <si>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</si>
  <si>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</si>
  <si>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1"/>
        <color theme="1"/>
        <rFont val="华文细黑"/>
        <family val="3"/>
        <charset val="134"/>
      </rPr>
      <t>项目</t>
    </r>
    <phoneticPr fontId="225" type="noConversion"/>
  </si>
  <si>
    <r>
      <rPr>
        <sz val="11"/>
        <color theme="1"/>
        <rFont val="华文细黑"/>
        <family val="3"/>
        <charset val="134"/>
      </rPr>
      <t>总用地</t>
    </r>
    <phoneticPr fontId="225" type="noConversion"/>
  </si>
  <si>
    <r>
      <rPr>
        <b/>
        <sz val="11"/>
        <color theme="1"/>
        <rFont val="华文细黑"/>
        <family val="3"/>
        <charset val="134"/>
      </rPr>
      <t>总用地面积</t>
    </r>
    <phoneticPr fontId="225" type="noConversion"/>
  </si>
  <si>
    <r>
      <rPr>
        <b/>
        <sz val="11"/>
        <color theme="1"/>
        <rFont val="华文细黑"/>
        <family val="3"/>
        <charset val="134"/>
      </rPr>
      <t>总建筑面积</t>
    </r>
    <phoneticPr fontId="225" type="noConversion"/>
  </si>
  <si>
    <r>
      <rPr>
        <b/>
        <sz val="11"/>
        <color theme="1"/>
        <rFont val="华文细黑"/>
        <family val="3"/>
        <charset val="134"/>
      </rPr>
      <t>地上建筑面积</t>
    </r>
    <phoneticPr fontId="225"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</si>
  <si>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5" type="noConversion"/>
  </si>
  <si>
    <r>
      <rPr>
        <sz val="11"/>
        <color theme="1"/>
        <rFont val="华文细黑"/>
        <family val="3"/>
        <charset val="134"/>
      </rPr>
      <t>住宅</t>
    </r>
    <phoneticPr fontId="225" type="noConversion"/>
  </si>
  <si>
    <t>F3</t>
    <phoneticPr fontId="225" type="noConversion"/>
  </si>
  <si>
    <r>
      <rPr>
        <sz val="11"/>
        <color theme="1"/>
        <rFont val="华文细黑"/>
        <family val="3"/>
        <charset val="134"/>
      </rPr>
      <t>商业</t>
    </r>
    <phoneticPr fontId="225" type="noConversion"/>
  </si>
  <si>
    <r>
      <rPr>
        <sz val="11"/>
        <color theme="1"/>
        <rFont val="华文细黑"/>
        <family val="3"/>
        <charset val="134"/>
      </rPr>
      <t>居住公共服务设施</t>
    </r>
    <phoneticPr fontId="225"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</si>
  <si>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5"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</si>
  <si>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5" type="noConversion"/>
  </si>
  <si>
    <r>
      <rPr>
        <sz val="11"/>
        <color theme="1"/>
        <rFont val="华文细黑"/>
        <family val="3"/>
        <charset val="134"/>
      </rPr>
      <t>人防工程</t>
    </r>
    <phoneticPr fontId="225" type="noConversion"/>
  </si>
  <si>
    <r>
      <rPr>
        <b/>
        <sz val="11"/>
        <color theme="1"/>
        <rFont val="华文细黑"/>
        <family val="3"/>
        <charset val="134"/>
      </rPr>
      <t>地下建筑面积</t>
    </r>
    <phoneticPr fontId="225"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</si>
  <si>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5" type="noConversion"/>
  </si>
  <si>
    <r>
      <rPr>
        <sz val="11"/>
        <color theme="1"/>
        <rFont val="华文细黑"/>
        <family val="3"/>
        <charset val="134"/>
      </rPr>
      <t>设备用房及其他</t>
    </r>
    <phoneticPr fontId="225" type="noConversion"/>
  </si>
  <si>
    <r>
      <rPr>
        <sz val="11"/>
        <color theme="1"/>
        <rFont val="华文细黑"/>
        <family val="3"/>
        <charset val="134"/>
      </rPr>
      <t>居民汽车场库及机动车库</t>
    </r>
    <phoneticPr fontId="225" type="noConversion"/>
  </si>
  <si>
    <r>
      <rPr>
        <sz val="11"/>
        <color theme="1"/>
        <rFont val="华文细黑"/>
        <family val="3"/>
        <charset val="134"/>
      </rPr>
      <t>存自行车处</t>
    </r>
    <phoneticPr fontId="225" type="noConversion"/>
  </si>
  <si>
    <r>
      <rPr>
        <sz val="11"/>
        <color theme="1"/>
        <rFont val="华文细黑"/>
        <family val="3"/>
        <charset val="134"/>
      </rPr>
      <t>戊类库房</t>
    </r>
    <phoneticPr fontId="225" type="noConversion"/>
  </si>
  <si>
    <r>
      <rPr>
        <sz val="11"/>
        <color theme="1"/>
        <rFont val="华文细黑"/>
        <family val="3"/>
        <charset val="134"/>
      </rPr>
      <t>容积率</t>
    </r>
    <phoneticPr fontId="225" type="noConversion"/>
  </si>
  <si>
    <r>
      <rPr>
        <sz val="11"/>
        <color theme="1"/>
        <rFont val="华文细黑"/>
        <family val="3"/>
        <charset val="134"/>
      </rPr>
      <t>居住户数</t>
    </r>
    <phoneticPr fontId="225" type="noConversion"/>
  </si>
  <si>
    <r>
      <rPr>
        <sz val="11"/>
        <color theme="1"/>
        <rFont val="华文细黑"/>
        <family val="3"/>
        <charset val="134"/>
      </rPr>
      <t>地下停车位</t>
    </r>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</si>
  <si>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</si>
  <si>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</si>
  <si>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</si>
  <si>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</si>
  <si>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</si>
  <si>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</si>
  <si>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</si>
  <si>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</si>
  <si>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10（-2）</t>
    <phoneticPr fontId="225" type="noConversion"/>
  </si>
  <si>
    <t>合计</t>
    <phoneticPr fontId="225" type="noConversion"/>
  </si>
  <si>
    <t>1#人防出入口</t>
    <phoneticPr fontId="225" type="noConversion"/>
  </si>
  <si>
    <t>2#人防出入口</t>
  </si>
  <si>
    <t>商业</t>
    <phoneticPr fontId="225" type="noConversion"/>
  </si>
  <si>
    <t>1101002024B000433</t>
    <phoneticPr fontId="225" type="noConversion"/>
  </si>
  <si>
    <t>R2</t>
    <phoneticPr fontId="225" type="noConversion"/>
  </si>
  <si>
    <t>0055地块</t>
    <phoneticPr fontId="225" type="noConversion"/>
  </si>
  <si>
    <t>0064地块</t>
    <phoneticPr fontId="225" type="noConversion"/>
  </si>
  <si>
    <t>0072地块</t>
    <phoneticPr fontId="225" type="noConversion"/>
  </si>
  <si>
    <r>
      <rPr>
        <sz val="11"/>
        <color theme="1"/>
        <rFont val="宋体"/>
        <family val="3"/>
        <charset val="134"/>
      </rPr>
      <t>土地证</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</si>
  <si>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5" type="noConversion"/>
  </si>
  <si>
    <r>
      <t>0058</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</si>
  <si>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</si>
  <si>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5" type="noConversion"/>
  </si>
  <si>
    <r>
      <t>0072</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</si>
  <si>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5" type="noConversion"/>
  </si>
  <si>
    <r>
      <t>0055</t>
    </r>
    <r>
      <rPr>
        <sz val="11"/>
        <color theme="1"/>
        <rFont val="宋体"/>
        <family val="3"/>
        <charset val="134"/>
      </rPr>
      <t>地块</t>
    </r>
    <phoneticPr fontId="225" type="noConversion"/>
  </si>
  <si>
    <r>
      <t>0064</t>
    </r>
    <r>
      <rPr>
        <sz val="11"/>
        <color theme="1"/>
        <rFont val="宋体"/>
        <family val="3"/>
        <charset val="134"/>
      </rPr>
      <t>地块</t>
    </r>
    <phoneticPr fontId="225" type="noConversion"/>
  </si>
  <si>
    <r>
      <rPr>
        <b/>
        <sz val="11"/>
        <color theme="1"/>
        <rFont val="宋体"/>
        <family val="3"/>
        <charset val="134"/>
      </rPr>
      <t>出让合同</t>
    </r>
    <phoneticPr fontId="225" type="noConversion"/>
  </si>
  <si>
    <r>
      <rPr>
        <sz val="11"/>
        <color theme="1"/>
        <rFont val="宋体"/>
        <family val="3"/>
        <charset val="134"/>
      </rPr>
      <t>电子监管号</t>
    </r>
    <phoneticPr fontId="225" type="noConversion"/>
  </si>
  <si>
    <r>
      <rPr>
        <sz val="11"/>
        <color theme="1"/>
        <rFont val="宋体"/>
        <family val="3"/>
        <charset val="134"/>
      </rPr>
      <t>受让人</t>
    </r>
    <phoneticPr fontId="225" type="noConversion"/>
  </si>
  <si>
    <r>
      <rPr>
        <sz val="11"/>
        <color theme="1"/>
        <rFont val="宋体"/>
        <family val="3"/>
        <charset val="134"/>
      </rPr>
      <t>北京华大基业房地产开发有公司</t>
    </r>
    <phoneticPr fontId="225" type="noConversion"/>
  </si>
  <si>
    <r>
      <rPr>
        <sz val="11"/>
        <color theme="1"/>
        <rFont val="宋体"/>
        <family val="3"/>
        <charset val="134"/>
      </rPr>
      <t>土地面积</t>
    </r>
    <phoneticPr fontId="225"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</si>
  <si>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5" type="noConversion"/>
  </si>
  <si>
    <r>
      <rPr>
        <sz val="11"/>
        <color theme="1"/>
        <rFont val="宋体"/>
        <family val="3"/>
        <charset val="134"/>
      </rPr>
      <t>宗地用途</t>
    </r>
    <phoneticPr fontId="225" type="noConversion"/>
  </si>
  <si>
    <r>
      <t>R2</t>
    </r>
    <r>
      <rPr>
        <sz val="11"/>
        <color theme="1"/>
        <rFont val="宋体"/>
        <family val="3"/>
        <charset val="134"/>
      </rPr>
      <t>二类居住用地、商业服务用地、地面公共交通场站用地</t>
    </r>
    <phoneticPr fontId="225" type="noConversion"/>
  </si>
  <si>
    <r>
      <rPr>
        <sz val="11"/>
        <color theme="1"/>
        <rFont val="宋体"/>
        <family val="3"/>
        <charset val="134"/>
      </rPr>
      <t>地价款</t>
    </r>
    <phoneticPr fontId="225" type="noConversion"/>
  </si>
  <si>
    <r>
      <rPr>
        <sz val="11"/>
        <color theme="1"/>
        <rFont val="宋体"/>
        <family val="3"/>
        <charset val="134"/>
      </rPr>
      <t>成交单价</t>
    </r>
    <phoneticPr fontId="225" type="noConversion"/>
  </si>
  <si>
    <r>
      <rPr>
        <sz val="11"/>
        <color theme="1"/>
        <rFont val="宋体"/>
        <family val="3"/>
        <charset val="134"/>
      </rPr>
      <t>开工</t>
    </r>
    <phoneticPr fontId="225" type="noConversion"/>
  </si>
  <si>
    <r>
      <rPr>
        <sz val="11"/>
        <color theme="1"/>
        <rFont val="宋体"/>
        <family val="3"/>
        <charset val="134"/>
      </rPr>
      <t>建筑总面积</t>
    </r>
    <phoneticPr fontId="225" type="noConversion"/>
  </si>
  <si>
    <r>
      <rPr>
        <sz val="11"/>
        <color theme="1"/>
        <rFont val="宋体"/>
        <family val="3"/>
        <charset val="134"/>
      </rPr>
      <t>竣工</t>
    </r>
    <phoneticPr fontId="225"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</si>
  <si>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5" type="noConversion"/>
  </si>
  <si>
    <r>
      <rPr>
        <b/>
        <sz val="11"/>
        <color theme="1"/>
        <rFont val="宋体"/>
        <family val="3"/>
        <charset val="134"/>
      </rPr>
      <t>其他要求：</t>
    </r>
    <phoneticPr fontId="225"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</si>
  <si>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5" type="noConversion"/>
  </si>
  <si>
    <r>
      <t>6</t>
    </r>
    <r>
      <rPr>
        <sz val="11"/>
        <color theme="1"/>
        <rFont val="宋体"/>
        <family val="3"/>
        <charset val="134"/>
      </rPr>
      <t>级地价区</t>
    </r>
    <phoneticPr fontId="225" type="noConversion"/>
  </si>
  <si>
    <r>
      <rPr>
        <sz val="11"/>
        <color theme="1"/>
        <rFont val="宋体"/>
        <family val="3"/>
        <charset val="134"/>
      </rPr>
      <t>供地</t>
    </r>
    <phoneticPr fontId="225" type="noConversion"/>
  </si>
  <si>
    <r>
      <rPr>
        <sz val="11"/>
        <color theme="1"/>
        <rFont val="宋体"/>
        <family val="3"/>
        <charset val="134"/>
      </rPr>
      <t>名称变更</t>
    </r>
    <phoneticPr fontId="225" type="noConversion"/>
  </si>
  <si>
    <r>
      <rPr>
        <sz val="11"/>
        <color theme="1"/>
        <rFont val="宋体"/>
        <family val="3"/>
        <charset val="134"/>
      </rPr>
      <t>北京海开颐和房地产开发有限责任公司</t>
    </r>
    <phoneticPr fontId="225" type="noConversion"/>
  </si>
  <si>
    <r>
      <rPr>
        <sz val="11"/>
        <color rgb="FFFF0000"/>
        <rFont val="宋体"/>
        <family val="3"/>
        <charset val="134"/>
      </rPr>
      <t>地价款</t>
    </r>
    <phoneticPr fontId="225" type="noConversion"/>
  </si>
  <si>
    <r>
      <rPr>
        <sz val="11"/>
        <color rgb="FFFF0000"/>
        <rFont val="宋体"/>
        <family val="3"/>
        <charset val="134"/>
      </rPr>
      <t>地价款未缴清</t>
    </r>
    <phoneticPr fontId="225" type="noConversion"/>
  </si>
  <si>
    <r>
      <rPr>
        <sz val="11"/>
        <color rgb="FFFF0000"/>
        <rFont val="宋体"/>
        <family val="3"/>
        <charset val="134"/>
      </rPr>
      <t>契税</t>
    </r>
    <phoneticPr fontId="225" type="noConversion"/>
  </si>
  <si>
    <r>
      <rPr>
        <sz val="11"/>
        <color rgb="FFFF0000"/>
        <rFont val="宋体"/>
        <family val="3"/>
        <charset val="134"/>
      </rPr>
      <t>印花税</t>
    </r>
    <phoneticPr fontId="225" type="noConversion"/>
  </si>
  <si>
    <r>
      <rPr>
        <sz val="11"/>
        <color theme="1"/>
        <rFont val="宋体"/>
        <family val="3"/>
        <charset val="134"/>
      </rPr>
      <t>建安取值</t>
    </r>
    <phoneticPr fontId="225" type="noConversion"/>
  </si>
  <si>
    <r>
      <rPr>
        <sz val="11"/>
        <color theme="1"/>
        <rFont val="宋体"/>
        <family val="3"/>
        <charset val="134"/>
      </rPr>
      <t>租金</t>
    </r>
    <phoneticPr fontId="225" type="noConversion"/>
  </si>
  <si>
    <r>
      <rPr>
        <sz val="11"/>
        <color indexed="8"/>
        <rFont val="宋体"/>
        <family val="3"/>
        <charset val="134"/>
      </rPr>
      <t>建筑面积</t>
    </r>
    <phoneticPr fontId="4" type="noConversion"/>
  </si>
  <si>
    <r>
      <rPr>
        <sz val="11"/>
        <color indexed="8"/>
        <rFont val="宋体"/>
        <family val="3"/>
        <charset val="134"/>
      </rPr>
      <t>单方建安</t>
    </r>
    <phoneticPr fontId="4" type="noConversion"/>
  </si>
  <si>
    <r>
      <rPr>
        <sz val="11"/>
        <color indexed="8"/>
        <rFont val="宋体"/>
        <family val="3"/>
        <charset val="134"/>
      </rPr>
      <t>合计</t>
    </r>
    <phoneticPr fontId="4" type="noConversion"/>
  </si>
  <si>
    <r>
      <rPr>
        <sz val="11"/>
        <color indexed="8"/>
        <rFont val="宋体"/>
        <family val="3"/>
        <charset val="134"/>
      </rPr>
      <t>工程进度</t>
    </r>
    <phoneticPr fontId="4" type="noConversion"/>
  </si>
  <si>
    <r>
      <rPr>
        <sz val="11"/>
        <color theme="1"/>
        <rFont val="宋体"/>
        <family val="3"/>
        <charset val="134"/>
      </rPr>
      <t>地上</t>
    </r>
    <phoneticPr fontId="225" type="noConversion"/>
  </si>
  <si>
    <r>
      <rPr>
        <b/>
        <sz val="11"/>
        <color indexed="8"/>
        <rFont val="宋体"/>
        <family val="3"/>
        <charset val="134"/>
      </rPr>
      <t>主体</t>
    </r>
    <phoneticPr fontId="4" type="noConversion"/>
  </si>
  <si>
    <r>
      <rPr>
        <sz val="11"/>
        <color theme="1"/>
        <rFont val="宋体"/>
        <family val="3"/>
        <charset val="134"/>
      </rPr>
      <t>地下</t>
    </r>
    <phoneticPr fontId="225" type="noConversion"/>
  </si>
  <si>
    <r>
      <rPr>
        <sz val="11"/>
        <color indexed="8"/>
        <rFont val="宋体"/>
        <family val="3"/>
        <charset val="134"/>
      </rPr>
      <t>地上</t>
    </r>
    <phoneticPr fontId="4" type="noConversion"/>
  </si>
  <si>
    <r>
      <rPr>
        <sz val="11"/>
        <color indexed="8"/>
        <rFont val="宋体"/>
        <family val="3"/>
        <charset val="134"/>
      </rPr>
      <t>地下</t>
    </r>
    <phoneticPr fontId="4" type="noConversion"/>
  </si>
  <si>
    <r>
      <rPr>
        <b/>
        <sz val="11"/>
        <color indexed="8"/>
        <rFont val="宋体"/>
        <family val="3"/>
        <charset val="134"/>
      </rPr>
      <t>装修</t>
    </r>
    <phoneticPr fontId="4" type="noConversion"/>
  </si>
  <si>
    <r>
      <rPr>
        <b/>
        <sz val="11"/>
        <color indexed="8"/>
        <rFont val="宋体"/>
        <family val="3"/>
        <charset val="134"/>
      </rPr>
      <t>设备</t>
    </r>
    <phoneticPr fontId="4" type="noConversion"/>
  </si>
  <si>
    <r>
      <rPr>
        <b/>
        <sz val="11"/>
        <color indexed="8"/>
        <rFont val="宋体"/>
        <family val="3"/>
        <charset val="134"/>
      </rPr>
      <t>人防</t>
    </r>
    <phoneticPr fontId="4" type="noConversion"/>
  </si>
  <si>
    <r>
      <rPr>
        <sz val="11"/>
        <color indexed="8"/>
        <rFont val="宋体"/>
        <family val="3"/>
        <charset val="134"/>
      </rPr>
      <t>综合平均</t>
    </r>
  </si>
  <si>
    <r>
      <rPr>
        <sz val="11"/>
        <color theme="1"/>
        <rFont val="宋体"/>
        <family val="3"/>
        <charset val="134"/>
      </rPr>
      <t>成新度</t>
    </r>
    <phoneticPr fontId="225" type="noConversion"/>
  </si>
  <si>
    <r>
      <rPr>
        <sz val="11"/>
        <color indexed="8"/>
        <rFont val="宋体"/>
        <family val="3"/>
        <charset val="134"/>
      </rPr>
      <t>建成年代</t>
    </r>
    <phoneticPr fontId="4" type="noConversion"/>
  </si>
  <si>
    <r>
      <rPr>
        <sz val="11"/>
        <color indexed="8"/>
        <rFont val="宋体"/>
        <family val="3"/>
        <charset val="134"/>
      </rPr>
      <t>砖混</t>
    </r>
    <phoneticPr fontId="4" type="noConversion"/>
  </si>
  <si>
    <r>
      <rPr>
        <sz val="11"/>
        <color indexed="8"/>
        <rFont val="宋体"/>
        <family val="3"/>
        <charset val="134"/>
      </rPr>
      <t>钢混</t>
    </r>
    <phoneticPr fontId="4" type="noConversion"/>
  </si>
  <si>
    <r>
      <rPr>
        <sz val="11"/>
        <color indexed="8"/>
        <rFont val="宋体"/>
        <family val="3"/>
        <charset val="134"/>
      </rPr>
      <t>残值率</t>
    </r>
    <phoneticPr fontId="4" type="noConversion"/>
  </si>
  <si>
    <r>
      <rPr>
        <sz val="11"/>
        <color indexed="8"/>
        <rFont val="宋体"/>
        <family val="3"/>
        <charset val="134"/>
      </rPr>
      <t>成新度</t>
    </r>
    <phoneticPr fontId="4" type="noConversion"/>
  </si>
  <si>
    <r>
      <rPr>
        <b/>
        <sz val="11"/>
        <color indexed="8"/>
        <rFont val="宋体"/>
        <family val="3"/>
        <charset val="134"/>
      </rPr>
      <t>直线折旧</t>
    </r>
    <phoneticPr fontId="4" type="noConversion"/>
  </si>
  <si>
    <r>
      <rPr>
        <sz val="11"/>
        <color indexed="8"/>
        <rFont val="宋体"/>
        <family val="3"/>
        <charset val="134"/>
      </rPr>
      <t>观察成新</t>
    </r>
    <phoneticPr fontId="4" type="noConversion"/>
  </si>
  <si>
    <t>地面公共交通场站用地、商业服务用地</t>
    <phoneticPr fontId="225" type="noConversion"/>
  </si>
  <si>
    <t>二类城镇住宅用地</t>
    <phoneticPr fontId="225" type="noConversion"/>
  </si>
  <si>
    <t>商业服务用地</t>
    <phoneticPr fontId="225" type="noConversion"/>
  </si>
  <si>
    <t>五通一平</t>
    <phoneticPr fontId="225" type="noConversion"/>
  </si>
  <si>
    <t>没有通讯、暖</t>
    <phoneticPr fontId="225" type="noConversion"/>
  </si>
  <si>
    <t>58-1号住宅</t>
    <phoneticPr fontId="225" type="noConversion"/>
  </si>
  <si>
    <t>58-2号住宅</t>
  </si>
  <si>
    <t>58-3号住宅</t>
  </si>
  <si>
    <t>58-4号住宅</t>
  </si>
  <si>
    <t>58-5号住宅</t>
  </si>
  <si>
    <t>58-6号住宅</t>
  </si>
  <si>
    <t>58-S1号配套居住公共服务设施</t>
    <phoneticPr fontId="225" type="noConversion"/>
  </si>
  <si>
    <t>储藏室</t>
    <phoneticPr fontId="225" type="noConversion"/>
  </si>
  <si>
    <t>公共服务设施</t>
    <phoneticPr fontId="225" type="noConversion"/>
  </si>
  <si>
    <t>58-S2号配电室</t>
    <phoneticPr fontId="225" type="noConversion"/>
  </si>
  <si>
    <t>58-地下车库</t>
    <phoneticPr fontId="225" type="noConversion"/>
  </si>
  <si>
    <t>酒店及附属用房</t>
    <phoneticPr fontId="225" type="noConversion"/>
  </si>
  <si>
    <t>酒店配套商业</t>
    <phoneticPr fontId="225" type="noConversion"/>
  </si>
  <si>
    <t>公交中心</t>
    <phoneticPr fontId="225" type="noConversion"/>
  </si>
  <si>
    <t>地铁接驳通道</t>
    <phoneticPr fontId="225" type="noConversion"/>
  </si>
  <si>
    <t>55-1号办公、商
业用房(酒店)</t>
    <phoneticPr fontId="225" type="noConversion"/>
  </si>
  <si>
    <t>5#人防出入口</t>
    <phoneticPr fontId="225"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</si>
  <si>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5" type="noConversion"/>
  </si>
  <si>
    <t>64-1号商
业用房(酒店)</t>
    <phoneticPr fontId="225" type="noConversion"/>
  </si>
  <si>
    <t>6#人防出入口</t>
    <phoneticPr fontId="225" type="noConversion"/>
  </si>
  <si>
    <t>7#人防出入口</t>
    <phoneticPr fontId="225"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</si>
  <si>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5" type="noConversion"/>
  </si>
  <si>
    <r>
      <t>45</t>
    </r>
    <r>
      <rPr>
        <sz val="11"/>
        <color theme="1"/>
        <rFont val="宋体"/>
        <family val="3"/>
        <charset val="134"/>
      </rPr>
      <t>米</t>
    </r>
    <phoneticPr fontId="225" type="noConversion"/>
  </si>
  <si>
    <t>72-1号住宅</t>
    <phoneticPr fontId="225" type="noConversion"/>
  </si>
  <si>
    <t>72-2号住宅</t>
  </si>
  <si>
    <t>72-3号住宅</t>
  </si>
  <si>
    <t>72-4号住宅</t>
  </si>
  <si>
    <t>72-5号住宅</t>
  </si>
  <si>
    <t>72-6号住宅</t>
  </si>
  <si>
    <t>72-7号住宅</t>
  </si>
  <si>
    <t>72-8号住宅</t>
  </si>
  <si>
    <t>72-9号住宅</t>
  </si>
  <si>
    <t>72-S1号配套居住公共服务设施</t>
    <phoneticPr fontId="225" type="noConversion"/>
  </si>
  <si>
    <t>72-S2号配电室</t>
    <phoneticPr fontId="225" type="noConversion"/>
  </si>
  <si>
    <t>72-地下车库</t>
    <phoneticPr fontId="225" type="noConversion"/>
  </si>
  <si>
    <t>住宅</t>
    <phoneticPr fontId="225" type="noConversion"/>
  </si>
  <si>
    <t>商办</t>
    <phoneticPr fontId="225" type="noConversion"/>
  </si>
  <si>
    <r>
      <t>743</t>
    </r>
    <r>
      <rPr>
        <sz val="11"/>
        <color theme="1"/>
        <rFont val="宋体"/>
        <family val="3"/>
        <charset val="134"/>
      </rPr>
      <t>间客房</t>
    </r>
    <phoneticPr fontId="225" type="noConversion"/>
  </si>
  <si>
    <r>
      <t>163</t>
    </r>
    <r>
      <rPr>
        <sz val="11"/>
        <color theme="1"/>
        <rFont val="宋体"/>
        <family val="3"/>
        <charset val="134"/>
      </rPr>
      <t>间客房</t>
    </r>
    <phoneticPr fontId="225" type="noConversion"/>
  </si>
  <si>
    <t>14（-2）</t>
    <phoneticPr fontId="225" type="noConversion"/>
  </si>
  <si>
    <t>15（-2）</t>
    <phoneticPr fontId="225" type="noConversion"/>
  </si>
  <si>
    <t>6（-2）</t>
    <phoneticPr fontId="225" type="noConversion"/>
  </si>
  <si>
    <t>13（-2）</t>
    <phoneticPr fontId="225" type="noConversion"/>
  </si>
  <si>
    <r>
      <t>0055</t>
    </r>
    <r>
      <rPr>
        <sz val="11"/>
        <color rgb="FFFF0000"/>
        <rFont val="宋体"/>
        <family val="3"/>
        <charset val="134"/>
      </rPr>
      <t>地块</t>
    </r>
    <phoneticPr fontId="225" type="noConversion"/>
  </si>
  <si>
    <r>
      <t>0058</t>
    </r>
    <r>
      <rPr>
        <sz val="11"/>
        <color rgb="FFFF0000"/>
        <rFont val="宋体"/>
        <family val="3"/>
        <charset val="134"/>
      </rPr>
      <t>地块</t>
    </r>
    <phoneticPr fontId="225" type="noConversion"/>
  </si>
  <si>
    <r>
      <t>0064</t>
    </r>
    <r>
      <rPr>
        <sz val="11"/>
        <color rgb="FFFF0000"/>
        <rFont val="宋体"/>
        <family val="3"/>
        <charset val="134"/>
      </rPr>
      <t>地块</t>
    </r>
    <phoneticPr fontId="225" type="noConversion"/>
  </si>
  <si>
    <r>
      <t>0072</t>
    </r>
    <r>
      <rPr>
        <sz val="11"/>
        <color rgb="FFFF0000"/>
        <rFont val="宋体"/>
        <family val="3"/>
        <charset val="134"/>
      </rPr>
      <t>地块</t>
    </r>
    <phoneticPr fontId="225"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</si>
  <si>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</si>
  <si>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</si>
  <si>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</si>
  <si>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</si>
  <si>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</si>
  <si>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</si>
  <si>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</si>
  <si>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</si>
  <si>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</si>
  <si>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</si>
  <si>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</si>
  <si>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</si>
  <si>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</si>
  <si>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</si>
  <si>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</si>
  <si>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</si>
  <si>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</si>
  <si>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</si>
  <si>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</si>
  <si>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</si>
  <si>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</si>
  <si>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</si>
  <si>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</si>
  <si>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</si>
  <si>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</si>
  <si>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</si>
  <si>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</si>
  <si>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</si>
  <si>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</si>
  <si>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</si>
  <si>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</si>
  <si>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</si>
  <si>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</si>
  <si>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</si>
  <si>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</si>
  <si>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</si>
  <si>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</si>
  <si>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</si>
  <si>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</si>
  <si>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</si>
  <si>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</si>
  <si>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</si>
  <si>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</si>
  <si>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</si>
  <si>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</si>
  <si>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</si>
  <si>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</si>
  <si>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</si>
  <si>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</si>
  <si>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</si>
  <si>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</si>
  <si>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</si>
  <si>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</si>
  <si>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</si>
  <si>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</si>
  <si>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</si>
  <si>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</si>
  <si>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</si>
  <si>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</si>
  <si>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</si>
  <si>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</si>
  <si>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</si>
  <si>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</si>
  <si>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</si>
  <si>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</si>
  <si>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</si>
  <si>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</si>
  <si>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</si>
  <si>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</si>
  <si>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</si>
  <si>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</si>
  <si>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</si>
  <si>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</si>
  <si>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</si>
  <si>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</si>
  <si>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</si>
  <si>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</si>
  <si>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</si>
  <si>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</si>
  <si>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</si>
  <si>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</si>
  <si>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</si>
  <si>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</si>
  <si>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</si>
  <si>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</si>
  <si>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</si>
  <si>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</si>
  <si>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</si>
  <si>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</si>
  <si>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</si>
  <si>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</si>
  <si>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</si>
  <si>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</si>
  <si>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</si>
  <si>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</si>
  <si>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</si>
  <si>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</si>
  <si>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</si>
  <si>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</si>
  <si>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</si>
  <si>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</si>
  <si>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</si>
  <si>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</si>
  <si>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</si>
  <si>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</si>
  <si>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</si>
  <si>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</si>
  <si>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</si>
  <si>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</si>
  <si>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</si>
  <si>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</si>
  <si>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</si>
  <si>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</si>
  <si>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</si>
  <si>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</si>
  <si>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</si>
  <si>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</si>
  <si>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</si>
  <si>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</si>
  <si>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</si>
  <si>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</si>
  <si>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</si>
  <si>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</si>
  <si>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</si>
  <si>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</si>
  <si>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</si>
  <si>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</si>
  <si>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</si>
  <si>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</si>
  <si>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</si>
  <si>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</si>
  <si>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</si>
  <si>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</si>
  <si>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</si>
  <si>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</si>
  <si>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</si>
  <si>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</si>
  <si>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</si>
  <si>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</si>
  <si>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</si>
  <si>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</si>
  <si>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</si>
  <si>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</si>
  <si>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</si>
  <si>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</si>
  <si>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</si>
  <si>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</si>
  <si>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</si>
  <si>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</si>
  <si>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</si>
  <si>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</si>
  <si>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</si>
  <si>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</si>
  <si>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</si>
  <si>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</si>
  <si>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</si>
  <si>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</si>
  <si>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</si>
  <si>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</si>
  <si>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</si>
  <si>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</si>
  <si>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</si>
  <si>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</si>
  <si>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</si>
  <si>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</si>
  <si>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</si>
  <si>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</si>
  <si>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</si>
  <si>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</si>
  <si>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</si>
  <si>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</si>
  <si>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</si>
  <si>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</si>
  <si>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</si>
  <si>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</si>
  <si>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</si>
  <si>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</si>
  <si>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</si>
  <si>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</si>
  <si>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</si>
  <si>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</si>
  <si>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</si>
  <si>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</si>
  <si>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</si>
  <si>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</si>
  <si>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</si>
  <si>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</si>
  <si>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</si>
  <si>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</si>
  <si>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</si>
  <si>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</si>
  <si>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</si>
  <si>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</si>
  <si>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</si>
  <si>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</si>
  <si>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</si>
  <si>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</si>
  <si>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</si>
  <si>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</si>
  <si>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</si>
  <si>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</si>
  <si>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</si>
  <si>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</si>
  <si>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</si>
  <si>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</si>
  <si>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</si>
  <si>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</si>
  <si>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</si>
  <si>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</si>
  <si>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</si>
  <si>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</si>
  <si>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</si>
  <si>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</si>
  <si>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</si>
  <si>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</si>
  <si>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</si>
  <si>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</si>
  <si>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</si>
  <si>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</si>
  <si>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</si>
  <si>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</si>
  <si>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</si>
  <si>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</si>
  <si>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</si>
  <si>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</si>
  <si>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</si>
  <si>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</si>
  <si>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</si>
  <si>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</si>
  <si>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</si>
  <si>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</si>
  <si>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</si>
  <si>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</si>
  <si>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</si>
  <si>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</si>
  <si>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</si>
  <si>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</si>
  <si>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</si>
  <si>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</si>
  <si>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</si>
  <si>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</si>
  <si>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</si>
  <si>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</si>
  <si>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</si>
  <si>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</si>
  <si>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</si>
  <si>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</si>
  <si>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</si>
  <si>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</si>
  <si>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</si>
  <si>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</si>
  <si>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</si>
  <si>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</si>
  <si>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</si>
  <si>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</si>
  <si>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</si>
  <si>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</si>
  <si>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</si>
  <si>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</si>
  <si>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</si>
  <si>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</si>
  <si>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</si>
  <si>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</si>
  <si>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</si>
  <si>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</si>
  <si>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</si>
  <si>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</si>
  <si>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</si>
  <si>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</si>
  <si>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</si>
  <si>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</si>
  <si>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</si>
  <si>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</si>
  <si>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</si>
  <si>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</si>
  <si>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</si>
  <si>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</si>
  <si>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</si>
  <si>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7" type="noConversion"/>
  </si>
  <si>
    <t>较不规则</t>
    <phoneticPr fontId="27" type="noConversion"/>
  </si>
  <si>
    <t>不规则</t>
    <phoneticPr fontId="27"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</si>
  <si>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</si>
  <si>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</si>
  <si>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</si>
  <si>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2" type="noConversion"/>
  </si>
  <si>
    <t>周边办公楼项目较多，有拥有产业园、朗丽兹写字楼、中关村壹号等项目，入驻率较高，办公集聚程度较好</t>
    <phoneticPr fontId="22" type="noConversion"/>
  </si>
  <si>
    <t>估价对象所在区域公共配套设施齐备情况一般</t>
    <phoneticPr fontId="22" type="noConversion"/>
  </si>
  <si>
    <t>次干道</t>
    <phoneticPr fontId="22" type="noConversion"/>
  </si>
  <si>
    <t>住宅</t>
    <phoneticPr fontId="27" type="noConversion"/>
  </si>
  <si>
    <t>住宅、商业</t>
    <phoneticPr fontId="27" type="noConversion"/>
  </si>
  <si>
    <t>抵押</t>
  </si>
  <si>
    <t>抵押价格</t>
  </si>
  <si>
    <t>企业</t>
  </si>
  <si>
    <t>海淀区西北旺镇永丰产业基地</t>
    <phoneticPr fontId="7" type="noConversion"/>
  </si>
  <si>
    <t>地上</t>
  </si>
  <si>
    <t>地下</t>
  </si>
  <si>
    <t>是</t>
  </si>
  <si>
    <t>住宅</t>
    <phoneticPr fontId="8" type="noConversion"/>
  </si>
  <si>
    <t>地下仓储</t>
    <phoneticPr fontId="8" type="noConversion"/>
  </si>
  <si>
    <t>地下车库</t>
    <phoneticPr fontId="8"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</si>
  <si>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</si>
  <si>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</si>
  <si>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</si>
  <si>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</si>
  <si>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</si>
  <si>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</si>
  <si>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</si>
  <si>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</si>
  <si>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</si>
  <si>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</si>
  <si>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2" type="noConversion"/>
  </si>
  <si>
    <t>多层</t>
    <phoneticPr fontId="22" type="noConversion"/>
  </si>
  <si>
    <t>否</t>
    <phoneticPr fontId="22" type="noConversion"/>
  </si>
  <si>
    <t>是</t>
    <phoneticPr fontId="22" type="noConversion"/>
  </si>
  <si>
    <t>普通</t>
    <phoneticPr fontId="22" type="noConversion"/>
  </si>
  <si>
    <t>简单</t>
    <phoneticPr fontId="22" type="noConversion"/>
  </si>
  <si>
    <t>毛坯</t>
    <phoneticPr fontId="22" type="noConversion"/>
  </si>
  <si>
    <t>售价</t>
  </si>
  <si>
    <t>估价对象周边居住用地比例一般、居住小区规模和社区发展完善程度一般，有永旺家园、六里屯一区、颐和山庄等项目，综合评价居住社区成熟度一般</t>
    <phoneticPr fontId="22" type="noConversion"/>
  </si>
  <si>
    <t>云</t>
    <phoneticPr fontId="22" type="noConversion"/>
  </si>
  <si>
    <t>地下仓储</t>
  </si>
  <si>
    <t>中海富华里</t>
  </si>
  <si>
    <t>项目位置</t>
  </si>
  <si>
    <t>仓储</t>
    <phoneticPr fontId="28" type="noConversion"/>
  </si>
  <si>
    <t>幸福里润园</t>
    <phoneticPr fontId="28" type="noConversion"/>
  </si>
  <si>
    <t>地下</t>
    <phoneticPr fontId="28" type="noConversion"/>
  </si>
  <si>
    <t>有</t>
  </si>
  <si>
    <t>精装修</t>
    <phoneticPr fontId="28" type="noConversion"/>
  </si>
  <si>
    <t>中海富华里</t>
    <phoneticPr fontId="28" type="noConversion"/>
  </si>
  <si>
    <t>中海汇德里</t>
    <phoneticPr fontId="28" type="noConversion"/>
  </si>
  <si>
    <t>地下车库</t>
  </si>
  <si>
    <t>产权车位</t>
    <phoneticPr fontId="225" type="noConversion"/>
  </si>
  <si>
    <t>车库</t>
    <phoneticPr fontId="28" type="noConversion"/>
  </si>
  <si>
    <t>正常</t>
  </si>
  <si>
    <t>简单装修</t>
  </si>
  <si>
    <t>平面车位</t>
  </si>
  <si>
    <t>否</t>
  </si>
  <si>
    <t>元/车位</t>
  </si>
  <si>
    <t>项目全部</t>
  </si>
  <si>
    <t>土地</t>
  </si>
  <si>
    <t>比较法-住宅、综合</t>
  </si>
  <si>
    <t>剩余法-待开发</t>
  </si>
  <si>
    <t>0058地块</t>
    <phoneticPr fontId="225" type="noConversion"/>
  </si>
  <si>
    <t>0072地块</t>
    <phoneticPr fontId="225" type="noConversion"/>
  </si>
  <si>
    <t>0055地块</t>
    <phoneticPr fontId="225" type="noConversion"/>
  </si>
  <si>
    <t>0064地块</t>
    <phoneticPr fontId="225" type="noConversion"/>
  </si>
  <si>
    <t>合计</t>
    <phoneticPr fontId="225" type="noConversion"/>
  </si>
  <si>
    <t>总价值（万元）</t>
    <phoneticPr fontId="225" type="noConversion"/>
  </si>
  <si>
    <t>扣除补缴后价值（万元）</t>
    <phoneticPr fontId="225" type="noConversion"/>
  </si>
  <si>
    <t>仓储</t>
    <phoneticPr fontId="225" type="noConversion"/>
  </si>
  <si>
    <t>车库</t>
    <phoneticPr fontId="225" type="noConversion"/>
  </si>
  <si>
    <t>补缴</t>
    <phoneticPr fontId="225" type="noConversion"/>
  </si>
  <si>
    <t>商业</t>
    <phoneticPr fontId="225" type="noConversion"/>
  </si>
  <si>
    <t>限售价</t>
    <phoneticPr fontId="27" type="noConversion"/>
  </si>
  <si>
    <r>
      <rPr>
        <sz val="11"/>
        <color rgb="FFFF0000"/>
        <rFont val="宋体"/>
        <family val="3"/>
        <charset val="134"/>
      </rPr>
      <t>案例</t>
    </r>
    <r>
      <rPr>
        <sz val="11"/>
        <color rgb="FFFF0000"/>
        <rFont val="Arial"/>
        <family val="2"/>
      </rPr>
      <t xml:space="preserve">C </t>
    </r>
    <r>
      <rPr>
        <sz val="11"/>
        <color rgb="FFFF0000"/>
        <rFont val="宋体"/>
        <family val="3"/>
        <charset val="134"/>
      </rPr>
      <t>需换</t>
    </r>
    <phoneticPr fontId="22" type="noConversion"/>
  </si>
  <si>
    <t xml:space="preserve"> 中海中旅·西山观复</t>
    <phoneticPr fontId="22" type="noConversion"/>
  </si>
  <si>
    <t>项目位置</t>
    <phoneticPr fontId="22" type="noConversion"/>
  </si>
  <si>
    <t>加权平均</t>
  </si>
  <si>
    <t>栖海澐颂</t>
    <phoneticPr fontId="28" type="noConversion"/>
  </si>
  <si>
    <t>中海汇德里</t>
  </si>
  <si>
    <t xml:space="preserve">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</si>
</sst>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42" fillId="0" borderId="0">
      <alignment vertical="center"/>
    </xf>
    <xf numFmtId="0" fontId="142" fillId="0" borderId="0">
      <alignment vertical="center"/>
    </xf>
    <xf numFmtId="9" fontId="142" fillId="0" borderId="0" applyFont="0" applyFill="0" applyBorder="0" applyAlignment="0" applyProtection="0">
      <alignment vertical="center"/>
    </xf>
  </cellStyleXfs>
  <cellXfs count="3859">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303" fillId="0" borderId="2" xfId="18" applyFont="1" applyBorder="1" applyAlignment="1">
      <alignment horizontal="center" vertical="center"/>
    </xf>
    <xf numFmtId="0" fontId="301" fillId="0" borderId="0" xfId="19" applyFont="1">
      <alignment vertical="center"/>
    </xf>
    <xf numFmtId="0" fontId="161"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49" fontId="161" fillId="0" borderId="0" xfId="19" applyNumberFormat="1" applyFont="1" applyAlignment="1">
      <alignment horizontal="left" vertical="center"/>
    </xf>
    <xf numFmtId="0" fontId="150" fillId="0" borderId="0" xfId="18" applyFont="1">
      <alignment vertical="center"/>
    </xf>
    <xf numFmtId="0" fontId="146" fillId="0" borderId="0" xfId="18" applyFont="1">
      <alignment vertical="center"/>
    </xf>
    <xf numFmtId="0" fontId="153" fillId="0" borderId="0" xfId="18" applyFont="1">
      <alignment vertical="center"/>
    </xf>
    <xf numFmtId="0" fontId="146" fillId="0" borderId="0" xfId="19" applyFont="1" applyAlignment="1">
      <alignment horizontal="left" vertical="center"/>
    </xf>
    <xf numFmtId="0" fontId="68" fillId="12" borderId="2" xfId="18" applyFont="1" applyFill="1" applyBorder="1" applyAlignment="1" applyProtection="1">
      <alignment horizontal="left" vertical="center"/>
      <protection locked="0"/>
    </xf>
    <xf numFmtId="0" fontId="72" fillId="12" borderId="2" xfId="18" applyFont="1" applyFill="1" applyBorder="1" applyAlignment="1" applyProtection="1">
      <alignment horizontal="left" vertical="center"/>
      <protection locked="0"/>
    </xf>
    <xf numFmtId="9" fontId="68" fillId="12" borderId="2" xfId="18" applyNumberFormat="1" applyFont="1" applyFill="1" applyBorder="1" applyAlignment="1" applyProtection="1">
      <alignment horizontal="left" vertical="center"/>
      <protection locked="0"/>
    </xf>
    <xf numFmtId="177" fontId="68" fillId="12" borderId="2" xfId="18" applyNumberFormat="1" applyFont="1" applyFill="1" applyBorder="1" applyAlignment="1" applyProtection="1">
      <alignment horizontal="left" vertical="center"/>
      <protection locked="0"/>
    </xf>
    <xf numFmtId="187" fontId="68" fillId="12" borderId="2" xfId="18" applyNumberFormat="1" applyFont="1" applyFill="1" applyBorder="1" applyAlignment="1" applyProtection="1">
      <alignment horizontal="left" vertical="center"/>
      <protection locked="0"/>
    </xf>
    <xf numFmtId="0" fontId="72" fillId="7" borderId="2" xfId="18" applyFont="1" applyFill="1" applyBorder="1" applyAlignment="1" applyProtection="1">
      <alignment horizontal="left" vertical="center"/>
      <protection locked="0"/>
    </xf>
    <xf numFmtId="9" fontId="68" fillId="12" borderId="2" xfId="20" applyFont="1" applyFill="1" applyBorder="1" applyAlignment="1" applyProtection="1">
      <alignment horizontal="left" vertical="center"/>
      <protection locked="0"/>
    </xf>
    <xf numFmtId="182" fontId="68" fillId="12" borderId="2" xfId="20" applyNumberFormat="1" applyFont="1" applyFill="1" applyBorder="1" applyAlignment="1" applyProtection="1">
      <alignment horizontal="left" vertical="center"/>
      <protection locked="0"/>
    </xf>
    <xf numFmtId="0" fontId="153" fillId="24" borderId="0" xfId="18" applyFont="1" applyFill="1">
      <alignment vertical="center"/>
    </xf>
    <xf numFmtId="14" fontId="153" fillId="24" borderId="0" xfId="18" applyNumberFormat="1" applyFont="1" applyFill="1">
      <alignment vertical="center"/>
    </xf>
    <xf numFmtId="0" fontId="146" fillId="0" borderId="0" xfId="18" applyFont="1" applyAlignment="1">
      <alignment horizontal="left" vertical="center"/>
    </xf>
    <xf numFmtId="0" fontId="146" fillId="0" borderId="0" xfId="18" applyFont="1" applyAlignment="1">
      <alignment vertical="center" wrapText="1"/>
    </xf>
    <xf numFmtId="14" fontId="146" fillId="0" borderId="0" xfId="18" applyNumberFormat="1" applyFont="1">
      <alignment vertical="center"/>
    </xf>
    <xf numFmtId="0" fontId="153" fillId="13" borderId="0" xfId="18" applyFont="1" applyFill="1">
      <alignment vertical="center"/>
    </xf>
    <xf numFmtId="49" fontId="150" fillId="0" borderId="0" xfId="18" applyNumberFormat="1" applyFont="1">
      <alignment vertical="center"/>
    </xf>
    <xf numFmtId="0" fontId="150" fillId="25" borderId="0" xfId="18" applyFont="1" applyFill="1">
      <alignment vertical="center"/>
    </xf>
    <xf numFmtId="1" fontId="150" fillId="25" borderId="0" xfId="18" applyNumberFormat="1" applyFont="1" applyFill="1">
      <alignment vertical="center"/>
    </xf>
    <xf numFmtId="1" fontId="150" fillId="0" borderId="0" xfId="18" applyNumberFormat="1" applyFont="1">
      <alignment vertical="center"/>
    </xf>
    <xf numFmtId="49" fontId="146" fillId="0" borderId="0" xfId="18" applyNumberFormat="1" applyFont="1">
      <alignment vertical="center"/>
    </xf>
    <xf numFmtId="14" fontId="150" fillId="0" borderId="0" xfId="18" applyNumberFormat="1" applyFont="1">
      <alignment vertical="center"/>
    </xf>
    <xf numFmtId="0" fontId="146" fillId="6" borderId="0" xfId="18" applyFont="1" applyFill="1">
      <alignment vertical="center"/>
    </xf>
    <xf numFmtId="0" fontId="153" fillId="6" borderId="0" xfId="18" applyFont="1" applyFill="1">
      <alignment vertical="center"/>
    </xf>
    <xf numFmtId="0" fontId="150" fillId="6" borderId="0" xfId="18" applyFont="1" applyFill="1">
      <alignment vertical="center"/>
    </xf>
    <xf numFmtId="0" fontId="68" fillId="0" borderId="2" xfId="18" applyFont="1" applyBorder="1" applyAlignment="1" applyProtection="1">
      <alignment horizontal="left" vertical="center"/>
      <protection locked="0"/>
    </xf>
    <xf numFmtId="196" fontId="146" fillId="0" borderId="0" xfId="19" applyNumberFormat="1" applyFont="1" applyAlignment="1">
      <alignment horizontal="left" vertical="center"/>
    </xf>
    <xf numFmtId="49" fontId="153" fillId="0" borderId="0" xfId="19" applyNumberFormat="1" applyFont="1" applyAlignment="1">
      <alignment horizontal="left" vertical="center"/>
    </xf>
    <xf numFmtId="0" fontId="146" fillId="14" borderId="0" xfId="18" applyFont="1" applyFill="1">
      <alignment vertical="center"/>
    </xf>
    <xf numFmtId="0" fontId="150" fillId="14" borderId="0" xfId="18" applyFont="1" applyFill="1">
      <alignment vertical="center"/>
    </xf>
    <xf numFmtId="0" fontId="164" fillId="14" borderId="0" xfId="18" applyFont="1" applyFill="1">
      <alignment vertical="center"/>
    </xf>
    <xf numFmtId="0" fontId="146" fillId="14" borderId="0" xfId="19" applyFont="1" applyFill="1" applyAlignment="1">
      <alignment horizontal="left" vertical="center"/>
    </xf>
    <xf numFmtId="0" fontId="153" fillId="14" borderId="0" xfId="18" applyFont="1" applyFill="1">
      <alignment vertical="center"/>
    </xf>
    <xf numFmtId="49" fontId="146" fillId="14" borderId="0" xfId="18" applyNumberFormat="1" applyFont="1" applyFill="1">
      <alignment vertical="center"/>
    </xf>
    <xf numFmtId="14" fontId="153" fillId="0" borderId="0" xfId="18" applyNumberFormat="1" applyFont="1">
      <alignment vertical="center"/>
    </xf>
    <xf numFmtId="180" fontId="303" fillId="0" borderId="2" xfId="18" applyNumberFormat="1" applyFont="1" applyBorder="1" applyAlignment="1">
      <alignment horizontal="center" vertical="center" wrapText="1"/>
    </xf>
    <xf numFmtId="0" fontId="146" fillId="0" borderId="1" xfId="18" applyFont="1" applyBorder="1">
      <alignment vertical="center"/>
    </xf>
    <xf numFmtId="0" fontId="146" fillId="0" borderId="42" xfId="18" applyFont="1" applyBorder="1">
      <alignment vertical="center"/>
    </xf>
    <xf numFmtId="0" fontId="146" fillId="0" borderId="6" xfId="18" applyFont="1" applyBorder="1">
      <alignment vertical="center"/>
    </xf>
    <xf numFmtId="49" fontId="146" fillId="0" borderId="6" xfId="18" applyNumberFormat="1" applyFont="1" applyBorder="1">
      <alignment vertical="center"/>
    </xf>
    <xf numFmtId="49" fontId="146" fillId="0" borderId="29" xfId="18" applyNumberFormat="1" applyFont="1" applyBorder="1">
      <alignment vertical="center"/>
    </xf>
    <xf numFmtId="49" fontId="146" fillId="0" borderId="7" xfId="18" applyNumberFormat="1" applyFont="1" applyBorder="1">
      <alignment vertical="center"/>
    </xf>
    <xf numFmtId="0" fontId="153" fillId="0" borderId="11" xfId="18" applyFont="1" applyBorder="1">
      <alignment vertical="center"/>
    </xf>
    <xf numFmtId="0" fontId="153" fillId="0" borderId="9" xfId="18" applyFont="1" applyBorder="1">
      <alignment vertical="center"/>
    </xf>
    <xf numFmtId="0" fontId="146" fillId="0" borderId="2" xfId="18" applyFont="1" applyBorder="1">
      <alignment vertical="center"/>
    </xf>
    <xf numFmtId="0" fontId="146" fillId="0" borderId="12" xfId="18" applyFont="1" applyBorder="1">
      <alignment vertical="center"/>
    </xf>
    <xf numFmtId="0" fontId="153" fillId="0" borderId="22" xfId="18" applyFont="1" applyBorder="1">
      <alignment vertical="center"/>
    </xf>
    <xf numFmtId="0" fontId="153" fillId="0" borderId="32" xfId="18" applyFont="1" applyBorder="1">
      <alignment vertical="center"/>
    </xf>
    <xf numFmtId="0" fontId="146" fillId="0" borderId="25" xfId="18" applyFont="1" applyBorder="1">
      <alignment vertical="center"/>
    </xf>
    <xf numFmtId="0" fontId="146" fillId="0" borderId="7" xfId="18" applyFont="1" applyBorder="1">
      <alignment vertical="center"/>
    </xf>
    <xf numFmtId="0" fontId="146" fillId="0" borderId="7" xfId="18" applyFont="1" applyBorder="1" applyAlignment="1">
      <alignment vertical="center" wrapText="1"/>
    </xf>
    <xf numFmtId="0" fontId="146" fillId="0" borderId="11" xfId="18" applyFont="1" applyBorder="1">
      <alignment vertical="center"/>
    </xf>
    <xf numFmtId="0" fontId="146" fillId="0" borderId="9" xfId="18" applyFont="1" applyBorder="1">
      <alignment vertical="center"/>
    </xf>
    <xf numFmtId="0" fontId="146" fillId="0" borderId="43" xfId="18" applyFont="1" applyBorder="1">
      <alignment vertical="center"/>
    </xf>
    <xf numFmtId="0" fontId="146" fillId="0" borderId="47" xfId="18" applyFont="1" applyBorder="1">
      <alignment vertical="center"/>
    </xf>
    <xf numFmtId="0" fontId="146" fillId="0" borderId="44" xfId="18" applyFont="1" applyBorder="1">
      <alignment vertical="center"/>
    </xf>
    <xf numFmtId="0" fontId="146" fillId="0" borderId="46" xfId="18" applyFont="1" applyBorder="1">
      <alignment vertical="center"/>
    </xf>
    <xf numFmtId="0" fontId="146" fillId="0" borderId="50" xfId="18" applyFont="1" applyBorder="1">
      <alignment vertical="center"/>
    </xf>
    <xf numFmtId="0" fontId="146" fillId="0" borderId="20" xfId="18" applyFont="1" applyBorder="1">
      <alignment vertical="center"/>
    </xf>
    <xf numFmtId="0" fontId="146" fillId="0" borderId="21" xfId="18" applyFont="1" applyBorder="1">
      <alignment vertical="center"/>
    </xf>
    <xf numFmtId="0" fontId="146" fillId="0" borderId="51" xfId="18" applyFont="1" applyBorder="1">
      <alignment vertical="center"/>
    </xf>
    <xf numFmtId="0" fontId="153" fillId="25" borderId="1" xfId="18" applyFont="1" applyFill="1" applyBorder="1">
      <alignment vertical="center"/>
    </xf>
    <xf numFmtId="0" fontId="153" fillId="25" borderId="42" xfId="18" applyFont="1" applyFill="1" applyBorder="1">
      <alignment vertical="center"/>
    </xf>
    <xf numFmtId="0" fontId="146" fillId="25" borderId="11" xfId="18" applyFont="1" applyFill="1" applyBorder="1">
      <alignment vertical="center"/>
    </xf>
    <xf numFmtId="0" fontId="146" fillId="25" borderId="9" xfId="18" applyFont="1" applyFill="1" applyBorder="1">
      <alignment vertical="center"/>
    </xf>
    <xf numFmtId="0" fontId="146" fillId="25" borderId="2" xfId="18" applyFont="1" applyFill="1" applyBorder="1">
      <alignment vertical="center"/>
    </xf>
    <xf numFmtId="0" fontId="146" fillId="25" borderId="12" xfId="18" applyFont="1" applyFill="1" applyBorder="1">
      <alignment vertical="center"/>
    </xf>
    <xf numFmtId="0" fontId="164" fillId="25" borderId="11" xfId="18" applyFont="1" applyFill="1" applyBorder="1">
      <alignment vertical="center"/>
    </xf>
    <xf numFmtId="0" fontId="301" fillId="25" borderId="11" xfId="18" applyFont="1" applyFill="1" applyBorder="1">
      <alignment vertical="center"/>
    </xf>
    <xf numFmtId="0" fontId="146" fillId="25" borderId="43" xfId="18" applyFont="1" applyFill="1" applyBorder="1">
      <alignment vertical="center"/>
    </xf>
    <xf numFmtId="0" fontId="146" fillId="25" borderId="47" xfId="18" applyFont="1" applyFill="1" applyBorder="1">
      <alignment vertical="center"/>
    </xf>
    <xf numFmtId="0" fontId="146" fillId="25" borderId="44" xfId="18" applyFont="1" applyFill="1" applyBorder="1">
      <alignment vertical="center"/>
    </xf>
    <xf numFmtId="0" fontId="153" fillId="10" borderId="1" xfId="18" applyFont="1" applyFill="1" applyBorder="1">
      <alignment vertical="center"/>
    </xf>
    <xf numFmtId="0" fontId="153" fillId="10" borderId="42" xfId="18" applyFont="1" applyFill="1" applyBorder="1">
      <alignment vertical="center"/>
    </xf>
    <xf numFmtId="0" fontId="146" fillId="10" borderId="11" xfId="18" applyFont="1" applyFill="1" applyBorder="1">
      <alignment vertical="center"/>
    </xf>
    <xf numFmtId="0" fontId="146" fillId="10" borderId="9" xfId="18" applyFont="1" applyFill="1" applyBorder="1">
      <alignment vertical="center"/>
    </xf>
    <xf numFmtId="0" fontId="146" fillId="10" borderId="2" xfId="18" applyFont="1" applyFill="1" applyBorder="1">
      <alignment vertical="center"/>
    </xf>
    <xf numFmtId="0" fontId="146" fillId="10" borderId="12" xfId="18" applyFont="1" applyFill="1" applyBorder="1">
      <alignment vertical="center"/>
    </xf>
    <xf numFmtId="0" fontId="301" fillId="10" borderId="11" xfId="18" applyFont="1" applyFill="1" applyBorder="1">
      <alignment vertical="center"/>
    </xf>
    <xf numFmtId="0" fontId="146" fillId="10" borderId="43" xfId="18" applyFont="1" applyFill="1" applyBorder="1">
      <alignment vertical="center"/>
    </xf>
    <xf numFmtId="0" fontId="146" fillId="10" borderId="47" xfId="18" applyFont="1" applyFill="1" applyBorder="1">
      <alignment vertical="center"/>
    </xf>
    <xf numFmtId="0" fontId="146" fillId="10" borderId="44" xfId="18" applyFont="1" applyFill="1" applyBorder="1">
      <alignment vertical="center"/>
    </xf>
    <xf numFmtId="0" fontId="153" fillId="0" borderId="2" xfId="18" applyFont="1" applyBorder="1">
      <alignment vertical="center"/>
    </xf>
    <xf numFmtId="0" fontId="153" fillId="0" borderId="12" xfId="18" applyFont="1" applyBorder="1">
      <alignment vertical="center"/>
    </xf>
    <xf numFmtId="0" fontId="153" fillId="0" borderId="10" xfId="18" applyFont="1" applyBorder="1">
      <alignment vertical="center"/>
    </xf>
    <xf numFmtId="0" fontId="153" fillId="0" borderId="25" xfId="18" applyFont="1" applyBorder="1">
      <alignment vertical="center"/>
    </xf>
    <xf numFmtId="0" fontId="153" fillId="25" borderId="6" xfId="18" applyFont="1" applyFill="1" applyBorder="1">
      <alignment vertical="center"/>
    </xf>
    <xf numFmtId="0" fontId="153" fillId="25" borderId="7" xfId="18" applyFont="1" applyFill="1" applyBorder="1">
      <alignment vertical="center"/>
    </xf>
    <xf numFmtId="0" fontId="153" fillId="10" borderId="6" xfId="18" applyFont="1" applyFill="1" applyBorder="1">
      <alignment vertical="center"/>
    </xf>
    <xf numFmtId="0" fontId="153" fillId="10" borderId="7" xfId="18" applyFont="1" applyFill="1" applyBorder="1">
      <alignment vertical="center"/>
    </xf>
    <xf numFmtId="187" fontId="146" fillId="25" borderId="2" xfId="18" applyNumberFormat="1" applyFont="1" applyFill="1" applyBorder="1">
      <alignment vertical="center"/>
    </xf>
    <xf numFmtId="187" fontId="146" fillId="25" borderId="44" xfId="18" applyNumberFormat="1" applyFont="1" applyFill="1" applyBorder="1">
      <alignment vertical="center"/>
    </xf>
    <xf numFmtId="187" fontId="146" fillId="10" borderId="2" xfId="18" applyNumberFormat="1" applyFont="1" applyFill="1" applyBorder="1">
      <alignment vertical="center"/>
    </xf>
    <xf numFmtId="187" fontId="146" fillId="10" borderId="44" xfId="18" applyNumberFormat="1" applyFont="1" applyFill="1" applyBorder="1">
      <alignment vertical="center"/>
    </xf>
    <xf numFmtId="180" fontId="146" fillId="25" borderId="2" xfId="18" applyNumberFormat="1" applyFont="1" applyFill="1" applyBorder="1">
      <alignment vertical="center"/>
    </xf>
    <xf numFmtId="180" fontId="146" fillId="25" borderId="44" xfId="18" applyNumberFormat="1" applyFont="1" applyFill="1" applyBorder="1">
      <alignment vertical="center"/>
    </xf>
    <xf numFmtId="180" fontId="146" fillId="10" borderId="2" xfId="18" applyNumberFormat="1" applyFont="1" applyFill="1" applyBorder="1">
      <alignment vertical="center"/>
    </xf>
    <xf numFmtId="187" fontId="146" fillId="25" borderId="12" xfId="18" applyNumberFormat="1" applyFont="1" applyFill="1" applyBorder="1">
      <alignment vertical="center"/>
    </xf>
    <xf numFmtId="187" fontId="146" fillId="25" borderId="46" xfId="18" applyNumberFormat="1" applyFont="1" applyFill="1" applyBorder="1">
      <alignment vertical="center"/>
    </xf>
    <xf numFmtId="187" fontId="146" fillId="10" borderId="12" xfId="18" applyNumberFormat="1" applyFont="1" applyFill="1" applyBorder="1">
      <alignment vertical="center"/>
    </xf>
    <xf numFmtId="187" fontId="146" fillId="10" borderId="46" xfId="18" applyNumberFormat="1" applyFont="1" applyFill="1" applyBorder="1">
      <alignment vertical="center"/>
    </xf>
    <xf numFmtId="0" fontId="164" fillId="0" borderId="0" xfId="18" applyFont="1">
      <alignment vertical="center"/>
    </xf>
    <xf numFmtId="0" fontId="150" fillId="0" borderId="0" xfId="19" applyFont="1" applyAlignment="1">
      <alignment horizontal="left" vertical="center"/>
    </xf>
    <xf numFmtId="0" fontId="0" fillId="9" borderId="0" xfId="0" applyFill="1" applyAlignment="1"/>
    <xf numFmtId="0" fontId="0" fillId="6" borderId="0" xfId="0" applyFill="1" applyAlignment="1"/>
    <xf numFmtId="0" fontId="141" fillId="0" borderId="74"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49" fontId="256" fillId="0" borderId="12"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5" fillId="0" borderId="46" xfId="0" applyFont="1" applyBorder="1" applyAlignment="1" applyProtection="1">
      <alignment horizontal="left" vertical="center"/>
      <protection locked="0"/>
    </xf>
    <xf numFmtId="0" fontId="141" fillId="0" borderId="6" xfId="0" applyFont="1" applyBorder="1" applyAlignment="1" applyProtection="1">
      <alignment horizontal="center" vertical="center" wrapText="1"/>
      <protection locked="0"/>
    </xf>
    <xf numFmtId="187" fontId="73" fillId="5" borderId="21" xfId="0" applyNumberFormat="1" applyFont="1" applyFill="1" applyBorder="1" applyAlignment="1">
      <alignment horizontal="center" vertical="center" wrapText="1"/>
    </xf>
    <xf numFmtId="181" fontId="149" fillId="5" borderId="2" xfId="0" applyNumberFormat="1" applyFont="1" applyFill="1" applyBorder="1" applyAlignment="1">
      <alignment horizontal="center" vertical="center" wrapText="1"/>
    </xf>
    <xf numFmtId="187" fontId="12" fillId="0" borderId="2" xfId="0" applyNumberFormat="1" applyFont="1" applyBorder="1" applyAlignment="1" applyProtection="1">
      <alignment vertical="center" wrapText="1"/>
      <protection locked="0"/>
    </xf>
    <xf numFmtId="187" fontId="12" fillId="0" borderId="2" xfId="0" applyNumberFormat="1" applyFont="1" applyBorder="1" applyAlignment="1" applyProtection="1">
      <alignment horizontal="center" vertical="center" wrapText="1"/>
      <protection locked="0"/>
    </xf>
    <xf numFmtId="187" fontId="12" fillId="0" borderId="21" xfId="0" applyNumberFormat="1" applyFont="1" applyBorder="1" applyAlignment="1" applyProtection="1">
      <alignment horizontal="center" vertical="center" wrapText="1"/>
      <protection locked="0"/>
    </xf>
    <xf numFmtId="177" fontId="68" fillId="8" borderId="12" xfId="2" applyNumberFormat="1" applyFont="1" applyFill="1" applyBorder="1" applyAlignment="1" applyProtection="1">
      <alignment horizontal="center" vertical="center"/>
      <protection locked="0"/>
    </xf>
    <xf numFmtId="0" fontId="78" fillId="0" borderId="74" xfId="0" applyFont="1" applyBorder="1" applyAlignment="1" applyProtection="1">
      <alignment horizontal="center" vertical="center" wrapText="1"/>
      <protection locked="0"/>
    </xf>
    <xf numFmtId="0" fontId="78" fillId="0" borderId="5" xfId="0"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1" fontId="146" fillId="0" borderId="0" xfId="19" applyNumberFormat="1" applyFont="1" applyAlignment="1">
      <alignment horizontal="left" vertical="center"/>
    </xf>
    <xf numFmtId="0" fontId="141" fillId="5" borderId="0" xfId="0" applyFont="1" applyFill="1" applyAlignment="1" applyProtection="1">
      <alignment horizontal="center" vertical="center"/>
      <protection locked="0"/>
    </xf>
    <xf numFmtId="0" fontId="78" fillId="0" borderId="59" xfId="0" applyFont="1" applyBorder="1" applyAlignment="1" applyProtection="1">
      <alignment horizontal="center" vertical="center" wrapText="1"/>
      <protection locked="0"/>
    </xf>
    <xf numFmtId="2" fontId="146" fillId="0" borderId="0" xfId="18" applyNumberFormat="1" applyFont="1">
      <alignment vertical="center"/>
    </xf>
    <xf numFmtId="2" fontId="68" fillId="0" borderId="64" xfId="0" applyNumberFormat="1" applyFont="1" applyBorder="1" applyAlignment="1" applyProtection="1">
      <alignment horizontal="center" vertical="center" wrapText="1"/>
      <protection locked="0"/>
    </xf>
    <xf numFmtId="10" fontId="150" fillId="0" borderId="2" xfId="0" applyNumberFormat="1" applyFont="1" applyBorder="1" applyAlignment="1" applyProtection="1">
      <alignment horizontal="center" vertical="center"/>
      <protection locked="0"/>
    </xf>
    <xf numFmtId="187" fontId="12" fillId="27" borderId="2" xfId="0" applyNumberFormat="1" applyFont="1" applyFill="1" applyBorder="1" applyAlignment="1" applyProtection="1">
      <alignment horizontal="center" vertical="center" wrapText="1"/>
      <protection locked="0"/>
    </xf>
    <xf numFmtId="0" fontId="68" fillId="27" borderId="7" xfId="0" applyFont="1" applyFill="1" applyBorder="1" applyAlignment="1">
      <alignment horizontal="center" vertical="center" wrapText="1"/>
    </xf>
    <xf numFmtId="0" fontId="105" fillId="27" borderId="30" xfId="0" applyFont="1" applyFill="1" applyBorder="1" applyAlignment="1" applyProtection="1">
      <alignment vertical="center" wrapText="1"/>
      <protection locked="0"/>
    </xf>
    <xf numFmtId="0" fontId="251" fillId="0" borderId="2" xfId="14" applyBorder="1" applyAlignment="1">
      <alignment horizontal="left" vertical="center"/>
    </xf>
    <xf numFmtId="0" fontId="1" fillId="0" borderId="2" xfId="14" applyFont="1" applyBorder="1" applyAlignment="1" applyProtection="1">
      <alignment horizontal="left" vertical="center" wrapText="1"/>
      <protection locked="0"/>
    </xf>
    <xf numFmtId="0" fontId="142" fillId="0" borderId="21" xfId="14" applyFont="1" applyBorder="1" applyAlignment="1" applyProtection="1">
      <alignment horizontal="left" vertical="center"/>
      <protection locked="0"/>
    </xf>
    <xf numFmtId="0" fontId="251" fillId="0" borderId="21" xfId="14" applyBorder="1" applyAlignment="1" applyProtection="1">
      <alignment horizontal="left" vertical="center"/>
      <protection locked="0"/>
    </xf>
    <xf numFmtId="0" fontId="252" fillId="0" borderId="3" xfId="14" applyFont="1" applyBorder="1" applyAlignment="1" applyProtection="1">
      <alignment horizontal="left" vertical="center" wrapText="1"/>
      <protection locked="0"/>
    </xf>
    <xf numFmtId="0" fontId="142" fillId="0" borderId="0" xfId="0" applyFont="1" applyAlignment="1" applyProtection="1">
      <alignment horizontal="left" vertical="center"/>
      <protection locked="0"/>
    </xf>
    <xf numFmtId="1" fontId="68" fillId="12" borderId="0" xfId="0" applyNumberFormat="1" applyFont="1" applyFill="1" applyProtection="1">
      <alignment vertical="center"/>
      <protection locked="0"/>
    </xf>
    <xf numFmtId="182" fontId="150" fillId="5" borderId="0" xfId="0" applyNumberFormat="1" applyFont="1" applyFill="1" applyAlignment="1" applyProtection="1">
      <alignment vertical="center" wrapText="1"/>
      <protection locked="0"/>
    </xf>
    <xf numFmtId="0" fontId="130" fillId="16" borderId="63" xfId="0" applyFont="1" applyFill="1" applyBorder="1" applyAlignment="1" applyProtection="1">
      <alignment horizontal="left" vertical="center" wrapText="1"/>
      <protection locked="0"/>
    </xf>
    <xf numFmtId="0" fontId="81" fillId="16" borderId="8" xfId="0" applyFont="1" applyFill="1" applyBorder="1" applyAlignment="1" applyProtection="1">
      <alignment horizontal="center" vertical="center" wrapText="1"/>
      <protection locked="0"/>
    </xf>
    <xf numFmtId="0" fontId="81" fillId="16" borderId="2" xfId="0" applyFont="1" applyFill="1" applyBorder="1" applyAlignment="1" applyProtection="1">
      <alignment horizontal="center" vertical="center" wrapText="1"/>
      <protection locked="0"/>
    </xf>
    <xf numFmtId="0" fontId="81" fillId="16" borderId="11" xfId="0" applyFont="1" applyFill="1" applyBorder="1" applyAlignment="1" applyProtection="1">
      <alignment horizontal="center" vertical="center" wrapText="1"/>
      <protection locked="0"/>
    </xf>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303" fillId="0" borderId="2" xfId="18" applyFont="1" applyBorder="1" applyAlignment="1">
      <alignment horizontal="center" vertical="center"/>
    </xf>
    <xf numFmtId="0" fontId="304" fillId="0" borderId="2" xfId="18"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180" fontId="303" fillId="0" borderId="2" xfId="18" applyNumberFormat="1" applyFont="1" applyBorder="1" applyAlignment="1">
      <alignment horizontal="center" vertical="center"/>
    </xf>
    <xf numFmtId="0" fontId="153" fillId="26" borderId="0" xfId="18" applyFont="1" applyFill="1" applyAlignment="1">
      <alignment horizontal="left" vertical="center" wrapText="1"/>
    </xf>
    <xf numFmtId="0" fontId="150" fillId="7" borderId="0" xfId="18" applyFont="1" applyFill="1" applyAlignment="1">
      <alignment horizontal="center" vertical="center" wrapText="1"/>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49" fontId="257" fillId="0" borderId="11" xfId="0" applyNumberFormat="1"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256" fillId="0" borderId="11"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305" fillId="0" borderId="9" xfId="0" applyFont="1" applyBorder="1" applyAlignment="1" applyProtection="1">
      <alignment horizontal="center" vertical="center" wrapText="1"/>
      <protection locked="0"/>
    </xf>
    <xf numFmtId="0" fontId="305" fillId="0" borderId="11" xfId="0"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9" xr:uid="{00000000-0005-0000-0000-000005000000}"/>
    <cellStyle name="常规 16" xfId="1" xr:uid="{00000000-0005-0000-0000-000006000000}"/>
    <cellStyle name="常规 16 2" xfId="18"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P01&#24314;&#34892;&#21462;&#20540;&#29256;\&#30005;&#31639;&#34920;-&#27704;&#20016;&#22303;&#22320;0055&#22320;&#22359;&#21830;&#21150;.xlsx" TargetMode="External"/><Relationship Id="rId1" Type="http://schemas.openxmlformats.org/officeDocument/2006/relationships/externalLinkPath" Target="&#30005;&#31639;&#34920;-&#27704;&#20016;&#22303;&#22320;0055&#22320;&#22359;&#21830;&#211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P01&#24314;&#34892;&#21462;&#20540;&#29256;\&#30005;&#31639;&#34920;-&#27704;&#20016;&#22303;&#22320;0072&#22320;&#22359;&#20303;&#23429;.xlsx" TargetMode="External"/><Relationship Id="rId1" Type="http://schemas.openxmlformats.org/officeDocument/2006/relationships/externalLinkPath" Target="&#30005;&#31639;&#34920;-&#27704;&#20016;&#22303;&#22320;0072&#22320;&#22359;&#20303;&#23429;.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P01&#24314;&#34892;&#21462;&#20540;&#29256;\&#30005;&#31639;&#34920;-&#27704;&#20016;&#22303;&#22320;0064&#22320;&#22359;&#21830;&#21150;.xlsx" TargetMode="External"/><Relationship Id="rId1" Type="http://schemas.openxmlformats.org/officeDocument/2006/relationships/externalLinkPath" Target="&#30005;&#31639;&#34920;-&#27704;&#20016;&#22303;&#22320;0064&#22320;&#22359;&#21830;&#211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72&#22320;&#22359;&#20303;&#234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55&#22320;&#22359;&#21830;&#2115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64&#22320;&#22359;&#21830;&#211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81552.06</v>
          </cell>
          <cell r="C14">
            <v>20510.68</v>
          </cell>
          <cell r="D14">
            <v>43709</v>
          </cell>
          <cell r="G14">
            <v>41049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efreshError="1">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cell r="C14">
            <v>23016.240000000002</v>
          </cell>
          <cell r="D14">
            <v>291748</v>
          </cell>
          <cell r="G14">
            <v>289026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cell r="C14">
            <v>24180.67</v>
          </cell>
          <cell r="D14">
            <v>88145</v>
          </cell>
          <cell r="G14">
            <v>81037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row>
      </sheetData>
      <sheetData sheetId="17">
        <row r="35">
          <cell r="G35">
            <v>2722</v>
          </cell>
        </row>
        <row r="37">
          <cell r="B37">
            <v>1544.06</v>
          </cell>
        </row>
        <row r="38">
          <cell r="B38">
            <v>17008.370000000003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81552.06</v>
          </cell>
        </row>
      </sheetData>
      <sheetData sheetId="17">
        <row r="35">
          <cell r="G35">
            <v>2660</v>
          </cell>
        </row>
        <row r="37">
          <cell r="B37">
            <v>0</v>
          </cell>
        </row>
        <row r="38">
          <cell r="B38">
            <v>11204.280000000002</v>
          </cell>
        </row>
        <row r="39">
          <cell r="B39">
            <v>1982.44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row>
      </sheetData>
      <sheetData sheetId="17">
        <row r="35">
          <cell r="G35">
            <v>7108</v>
          </cell>
        </row>
        <row r="37">
          <cell r="B37">
            <v>0</v>
          </cell>
        </row>
        <row r="38">
          <cell r="B38">
            <v>13842.479999999998</v>
          </cell>
        </row>
        <row r="39">
          <cell r="B39">
            <v>9323.9699999999993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根据《国有土地使用证》[]，估价对象（分摊）出让国有建设用地使用权面积为21822.21平方米。根据《建设工程规划许可证》[]、《出让合同》[]，估价对象规划建筑面积为72618.102平方米。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21822.21</v>
      </c>
    </row>
    <row r="44" spans="1:2">
      <c r="A44" s="2180" t="s">
        <v>2022</v>
      </c>
      <c r="B44" s="2181" t="str">
        <f>'预评函-2'!O3</f>
        <v>规划建筑面积/㎡</v>
      </c>
    </row>
    <row r="45" spans="1:2">
      <c r="A45" s="2180" t="s">
        <v>2004</v>
      </c>
      <c r="B45" s="2181">
        <f>'预评函-2'!O5</f>
        <v>72618.101999999999</v>
      </c>
    </row>
    <row r="46" spans="1:2">
      <c r="A46" s="2180" t="s">
        <v>2005</v>
      </c>
      <c r="B46" s="2181">
        <f ca="1">'预评函-2'!P5</f>
        <v>127113</v>
      </c>
    </row>
    <row r="47" spans="1:2">
      <c r="A47" s="2180" t="s">
        <v>2006</v>
      </c>
      <c r="B47" s="2181">
        <f ca="1">'预评函-2'!Q5</f>
        <v>38198</v>
      </c>
    </row>
    <row r="48" spans="1:2">
      <c r="A48" s="2180" t="s">
        <v>2007</v>
      </c>
      <c r="B48" s="2181">
        <f ca="1">'预评函-2'!R5</f>
        <v>277389</v>
      </c>
    </row>
    <row r="49" spans="1:2">
      <c r="A49" s="2180" t="s">
        <v>2023</v>
      </c>
      <c r="B49" s="2181" t="str">
        <f>'预评函-2'!A6</f>
        <v>抵押价格</v>
      </c>
    </row>
    <row r="50" spans="1:2">
      <c r="A50" s="2180" t="s">
        <v>2008</v>
      </c>
      <c r="B50" s="2181">
        <f ca="1">'预评函-2'!R6</f>
        <v>274410</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综上，本次评估估价师知悉的法定优先受偿款为人民币2979万元整。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7" t="s">
        <v>2665</v>
      </c>
      <c r="B1" s="3028"/>
      <c r="C1" s="3028"/>
      <c r="D1" s="3028"/>
      <c r="E1" s="3028"/>
      <c r="F1" s="3029"/>
    </row>
    <row r="2" spans="1:6">
      <c r="A2" s="3030"/>
      <c r="B2" s="3031"/>
      <c r="C2" s="3031"/>
      <c r="D2" s="3031"/>
      <c r="E2" s="3031"/>
      <c r="F2" s="3032"/>
    </row>
    <row r="3" spans="1:6">
      <c r="A3" s="2984" t="s">
        <v>2666</v>
      </c>
      <c r="B3" s="3033">
        <f>项目基本情况!D3</f>
        <v>45616</v>
      </c>
      <c r="C3" s="3034"/>
      <c r="D3" s="3034"/>
      <c r="E3" s="3034"/>
      <c r="F3" s="3032"/>
    </row>
    <row r="4" spans="1:6">
      <c r="A4" s="2984" t="s">
        <v>2667</v>
      </c>
      <c r="B4" s="3035" t="s">
        <v>2668</v>
      </c>
      <c r="C4" s="3035" t="s">
        <v>2669</v>
      </c>
      <c r="D4" s="3035" t="s">
        <v>2670</v>
      </c>
      <c r="E4" s="3035" t="s">
        <v>2671</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2672</v>
      </c>
      <c r="B9" s="3035"/>
      <c r="C9" s="3035"/>
      <c r="D9" s="3035"/>
      <c r="E9" s="3035"/>
      <c r="F9" s="3039"/>
    </row>
    <row r="10" spans="1:6">
      <c r="A10" s="2984" t="s">
        <v>2673</v>
      </c>
      <c r="B10" s="3035"/>
      <c r="C10" s="3035"/>
      <c r="D10" s="3035" t="s">
        <v>2671</v>
      </c>
      <c r="E10" s="3035"/>
      <c r="F10" s="3039" t="s">
        <v>2670</v>
      </c>
    </row>
    <row r="11" spans="1:6">
      <c r="A11" s="2984" t="s">
        <v>2674</v>
      </c>
      <c r="B11" s="3040"/>
      <c r="C11" s="3035" t="s">
        <v>2675</v>
      </c>
      <c r="D11" s="3040"/>
      <c r="E11" s="3035" t="s">
        <v>2676</v>
      </c>
      <c r="F11" s="3041">
        <f>ROUND(1-(1/(POWER(1+D11,B11))),4)</f>
        <v>0</v>
      </c>
    </row>
    <row r="12" spans="1:6">
      <c r="A12" s="2984" t="s">
        <v>2677</v>
      </c>
      <c r="B12" s="3040"/>
      <c r="C12" s="3035" t="s">
        <v>2678</v>
      </c>
      <c r="D12" s="3040"/>
      <c r="E12" s="3035" t="s">
        <v>2679</v>
      </c>
      <c r="F12" s="3041">
        <f>ROUND(1-(1/(POWER(1+D12,B12))),4)</f>
        <v>0</v>
      </c>
    </row>
    <row r="13" spans="1:6">
      <c r="A13" s="2984" t="s">
        <v>2680</v>
      </c>
      <c r="B13" s="3035"/>
      <c r="C13" s="3034"/>
      <c r="D13" s="3031"/>
      <c r="E13" s="3031"/>
      <c r="F13" s="3032"/>
    </row>
    <row r="14" spans="1:6">
      <c r="A14" s="2984" t="s">
        <v>2681</v>
      </c>
      <c r="B14" s="3040"/>
      <c r="C14" s="3034"/>
      <c r="D14" s="3031"/>
      <c r="E14" s="3031"/>
      <c r="F14" s="3032"/>
    </row>
    <row r="15" spans="1:6">
      <c r="A15" s="2984" t="s">
        <v>2682</v>
      </c>
      <c r="B15" s="3035" t="e">
        <f>ROUND(B14*F12/F11,2)</f>
        <v>#DIV/0!</v>
      </c>
      <c r="C15" s="3035" t="e">
        <f>ROUND(F12/F11,4)</f>
        <v>#DIV/0!</v>
      </c>
      <c r="D15" s="3031"/>
      <c r="E15" s="3031"/>
      <c r="F15" s="3032"/>
    </row>
    <row r="16" spans="1:6">
      <c r="A16" s="2984" t="s">
        <v>2683</v>
      </c>
      <c r="B16" s="3035"/>
      <c r="C16" s="3034"/>
      <c r="D16" s="3031"/>
      <c r="E16" s="3031"/>
      <c r="F16" s="3032"/>
    </row>
    <row r="17" spans="1:7">
      <c r="A17" s="2984" t="s">
        <v>2682</v>
      </c>
      <c r="B17" s="3040"/>
      <c r="C17" s="3034"/>
      <c r="D17" s="3031"/>
      <c r="E17" s="3031"/>
      <c r="F17" s="3032"/>
    </row>
    <row r="18" spans="1:7" ht="14.25" thickBot="1">
      <c r="A18" s="3042" t="s">
        <v>2681</v>
      </c>
      <c r="B18" s="3043" t="e">
        <f>ROUND(B17*F11/F12,2)</f>
        <v>#DIV/0!</v>
      </c>
      <c r="C18" s="3043" t="e">
        <f>ROUND(F11/F12,4)</f>
        <v>#DIV/0!</v>
      </c>
      <c r="D18" s="3044"/>
      <c r="E18" s="3044"/>
      <c r="F18" s="3045"/>
    </row>
    <row r="19" spans="1:7" ht="14.25" thickBot="1"/>
    <row r="20" spans="1:7">
      <c r="A20" s="3046" t="s">
        <v>2684</v>
      </c>
      <c r="B20" s="3047"/>
      <c r="C20" s="3047"/>
      <c r="D20" s="3047"/>
      <c r="E20" s="3047"/>
      <c r="F20" s="3047"/>
      <c r="G20" s="3048"/>
    </row>
    <row r="21" spans="1:7">
      <c r="A21" s="3049"/>
      <c r="B21" s="3050" t="s">
        <v>2685</v>
      </c>
      <c r="C21" s="3050" t="s">
        <v>2686</v>
      </c>
      <c r="D21" s="3050" t="s">
        <v>2687</v>
      </c>
      <c r="E21" s="3050" t="s">
        <v>2688</v>
      </c>
      <c r="F21" s="3050" t="s">
        <v>2689</v>
      </c>
      <c r="G21" s="3051" t="s">
        <v>2690</v>
      </c>
    </row>
    <row r="22" spans="1:7">
      <c r="A22" s="3049" t="s">
        <v>2691</v>
      </c>
      <c r="B22" s="3052">
        <v>50</v>
      </c>
      <c r="C22" s="3052">
        <v>32</v>
      </c>
      <c r="D22" s="3053">
        <v>0.05</v>
      </c>
      <c r="E22" s="3050">
        <f>ROUND(POWER(1+D22,B22-C22)*(POWER(1+D22,C22)-1)/(POWER(1+D22,B22)-1),3)</f>
        <v>0.86599999999999999</v>
      </c>
      <c r="F22" s="3053">
        <v>0.6</v>
      </c>
      <c r="G22" s="3051">
        <f>ROUND(100*(1-(1-E22)*F22),1)</f>
        <v>92</v>
      </c>
    </row>
    <row r="23" spans="1:7">
      <c r="A23" s="3054" t="s">
        <v>2692</v>
      </c>
      <c r="B23" s="3052">
        <v>50</v>
      </c>
      <c r="C23" s="3052">
        <v>35</v>
      </c>
      <c r="D23" s="3053">
        <v>0.05</v>
      </c>
      <c r="E23" s="3050">
        <f>ROUND(POWER(1+D23,B23-C23)*(POWER(1+D23,C23)-1)/(POWER(1+D23,B23)-1),3)</f>
        <v>0.89700000000000002</v>
      </c>
      <c r="F23" s="3053">
        <f>F22</f>
        <v>0.6</v>
      </c>
      <c r="G23" s="3051">
        <f>ROUND(100*(1-(1-E23)*F23),1)</f>
        <v>93.8</v>
      </c>
    </row>
    <row r="24" spans="1:7">
      <c r="A24" s="3054" t="s">
        <v>2693</v>
      </c>
      <c r="B24" s="3052">
        <v>50</v>
      </c>
      <c r="C24" s="3052">
        <v>25</v>
      </c>
      <c r="D24" s="3053">
        <v>0.05</v>
      </c>
      <c r="E24" s="3050">
        <f>ROUND(POWER(1+D24,B24-C24)*(POWER(1+D24,C24)-1)/(POWER(1+D24,B24)-1),3)</f>
        <v>0.77200000000000002</v>
      </c>
      <c r="F24" s="3053">
        <f>F23</f>
        <v>0.6</v>
      </c>
      <c r="G24" s="3051">
        <f>ROUND(100*(1-(1-E24)*F24),1)</f>
        <v>86.3</v>
      </c>
    </row>
    <row r="25" spans="1:7">
      <c r="A25" s="3054" t="s">
        <v>2694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2695</v>
      </c>
      <c r="B27" s="3059"/>
      <c r="C27" s="3059"/>
      <c r="D27" s="3059"/>
      <c r="E27" s="3059"/>
      <c r="F27" s="3059"/>
      <c r="G27" s="3060"/>
    </row>
    <row r="28" spans="1:7">
      <c r="A28" s="3058" t="s">
        <v>2696</v>
      </c>
      <c r="B28" s="3059"/>
      <c r="C28" s="3059"/>
      <c r="D28" s="3059"/>
      <c r="E28" s="3059"/>
      <c r="F28" s="3059"/>
      <c r="G28" s="3060"/>
    </row>
    <row r="29" spans="1:7">
      <c r="A29" s="3058" t="s">
        <v>2697</v>
      </c>
      <c r="B29" s="3059"/>
      <c r="C29" s="3059"/>
      <c r="D29" s="3059"/>
      <c r="E29" s="3059"/>
      <c r="F29" s="3059"/>
      <c r="G29" s="3060"/>
    </row>
    <row r="30" spans="1:7">
      <c r="A30" s="3058" t="s">
        <v>2698</v>
      </c>
      <c r="B30" s="3059"/>
      <c r="C30" s="3059"/>
      <c r="D30" s="3059"/>
      <c r="E30" s="3059"/>
      <c r="F30" s="3059"/>
      <c r="G30" s="3060"/>
    </row>
    <row r="31" spans="1:7">
      <c r="A31" s="3058" t="s">
        <v>2699</v>
      </c>
      <c r="B31" s="3059"/>
      <c r="C31" s="3059"/>
      <c r="D31" s="3059"/>
      <c r="E31" s="3059"/>
      <c r="F31" s="3059"/>
      <c r="G31" s="3060"/>
    </row>
    <row r="32" spans="1:7">
      <c r="A32" s="3058" t="s">
        <v>2700</v>
      </c>
      <c r="B32" s="3059"/>
      <c r="C32" s="3059"/>
      <c r="D32" s="3059"/>
      <c r="E32" s="3059"/>
      <c r="F32" s="3059"/>
      <c r="G32" s="3060"/>
    </row>
    <row r="33" spans="1:7">
      <c r="A33" s="3058" t="s">
        <v>2701</v>
      </c>
      <c r="B33" s="3059"/>
      <c r="C33" s="3059"/>
      <c r="D33" s="3059"/>
      <c r="E33" s="3059"/>
      <c r="F33" s="3059"/>
      <c r="G33" s="3060"/>
    </row>
    <row r="34" spans="1:7">
      <c r="A34" s="3058" t="s">
        <v>2702</v>
      </c>
      <c r="B34" s="3059"/>
      <c r="C34" s="3059"/>
      <c r="D34" s="3059"/>
      <c r="E34" s="3059"/>
      <c r="F34" s="3059"/>
      <c r="G34" s="3060"/>
    </row>
    <row r="35" spans="1:7">
      <c r="A35" s="3058" t="s">
        <v>2703</v>
      </c>
      <c r="B35" s="3059"/>
      <c r="C35" s="3059"/>
      <c r="D35" s="3059"/>
      <c r="E35" s="3059"/>
      <c r="F35" s="3059"/>
      <c r="G35" s="3060"/>
    </row>
    <row r="36" spans="1:7">
      <c r="A36" s="3058" t="s">
        <v>2704</v>
      </c>
      <c r="B36" s="3059"/>
      <c r="C36" s="3059"/>
      <c r="D36" s="3059"/>
      <c r="E36" s="3059"/>
      <c r="F36" s="3059"/>
      <c r="G36" s="3060"/>
    </row>
    <row r="37" spans="1:7">
      <c r="A37" s="3058" t="s">
        <v>2705</v>
      </c>
      <c r="B37" s="3059"/>
      <c r="C37" s="3059"/>
      <c r="D37" s="3059"/>
      <c r="E37" s="3059"/>
      <c r="F37" s="3059"/>
      <c r="G37" s="3060"/>
    </row>
    <row r="38" spans="1:7">
      <c r="A38" s="3058" t="s">
        <v>2706</v>
      </c>
      <c r="B38" s="3059"/>
      <c r="C38" s="3059"/>
      <c r="D38" s="3059"/>
      <c r="E38" s="3059"/>
      <c r="F38" s="3059"/>
      <c r="G38" s="3060"/>
    </row>
    <row r="39" spans="1:7">
      <c r="A39" s="3058"/>
      <c r="B39" s="3059"/>
      <c r="C39" s="3059"/>
      <c r="D39" s="3059"/>
      <c r="E39" s="3059"/>
      <c r="F39" s="3059"/>
      <c r="G39" s="3060"/>
    </row>
    <row r="40" spans="1:7">
      <c r="A40" s="3061" t="s">
        <v>2707</v>
      </c>
      <c r="B40" s="3062"/>
      <c r="C40" s="3062"/>
      <c r="D40" s="3062"/>
      <c r="E40" s="3062"/>
      <c r="F40" s="3062"/>
      <c r="G40" s="3063"/>
    </row>
    <row r="41" spans="1:7">
      <c r="A41" s="3064" t="s">
        <v>2708</v>
      </c>
      <c r="B41" s="3065" t="s">
        <v>2709</v>
      </c>
      <c r="C41" s="3066" t="s">
        <v>2710</v>
      </c>
      <c r="D41" s="3066" t="s">
        <v>2711</v>
      </c>
      <c r="E41" s="3067"/>
      <c r="F41" s="3068"/>
      <c r="G41" s="3069"/>
    </row>
    <row r="42" spans="1:7">
      <c r="A42" s="3064" t="s">
        <v>2712</v>
      </c>
      <c r="B42" s="3065" t="s">
        <v>2713</v>
      </c>
      <c r="C42" s="3066" t="s">
        <v>2713</v>
      </c>
      <c r="D42" s="3070" t="s">
        <v>2714</v>
      </c>
      <c r="E42" s="3062" t="s">
        <v>2715</v>
      </c>
      <c r="F42" s="3062"/>
      <c r="G42" s="3063"/>
    </row>
    <row r="43" spans="1:7">
      <c r="A43" s="3064" t="s">
        <v>2716</v>
      </c>
      <c r="B43" s="3065" t="s">
        <v>2717</v>
      </c>
      <c r="C43" s="3066" t="s">
        <v>2718</v>
      </c>
      <c r="D43" s="3066" t="s">
        <v>2719</v>
      </c>
      <c r="E43" s="3067" t="s">
        <v>2720</v>
      </c>
      <c r="F43" s="3068"/>
      <c r="G43" s="3069"/>
    </row>
    <row r="44" spans="1:7">
      <c r="A44" s="3064" t="s">
        <v>2721</v>
      </c>
      <c r="B44" s="3065" t="s">
        <v>2722</v>
      </c>
      <c r="C44" s="3066" t="s">
        <v>2723</v>
      </c>
      <c r="D44" s="3070">
        <v>0.5</v>
      </c>
      <c r="E44" s="3067" t="s">
        <v>2724</v>
      </c>
      <c r="F44" s="3068"/>
      <c r="G44" s="3069"/>
    </row>
    <row r="45" spans="1:7" ht="14.25" thickBot="1">
      <c r="A45" s="3071" t="s">
        <v>2725</v>
      </c>
      <c r="B45" s="3072" t="s">
        <v>2713</v>
      </c>
      <c r="C45" s="3073" t="s">
        <v>2713</v>
      </c>
      <c r="D45" s="3073" t="s">
        <v>2726</v>
      </c>
      <c r="E45" s="3074" t="s">
        <v>2727</v>
      </c>
      <c r="F45" s="3074"/>
      <c r="G45" s="3075"/>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68" t="str">
        <f>IF(B10="北京市","北京市",C10)&amp;F10&amp;A17&amp;"国有建设用地使用权"&amp;B9&amp;"预评估"</f>
        <v>北京市海淀区西北旺镇永丰产业基地出让国有建设用地使用权抵押价格预评估</v>
      </c>
      <c r="C1" s="3569"/>
      <c r="D1" s="3569"/>
      <c r="E1" s="3569"/>
      <c r="F1" s="3569"/>
      <c r="G1" s="3569"/>
      <c r="H1" s="3569"/>
      <c r="I1" s="3570"/>
      <c r="J1" s="2601"/>
      <c r="K1" s="1969" t="str">
        <f>IF(B10="北京市","北京市",C10)&amp;F10&amp;A17&amp;"国有建设用地使用权"&amp;B9</f>
        <v>北京市海淀区西北旺镇永丰产业基地出让国有建设用地使用权抵押价格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北京市海淀区西北旺镇永丰产业基地出让国有建设用地使用权</v>
      </c>
      <c r="L2" s="2581"/>
      <c r="M2" s="2581"/>
      <c r="N2" s="2582"/>
      <c r="O2" s="2583"/>
      <c r="P2" s="2582"/>
      <c r="Q2" s="2582"/>
      <c r="R2" s="2582"/>
      <c r="S2" s="2582"/>
      <c r="T2" s="2582"/>
      <c r="U2" s="2582"/>
    </row>
    <row r="3" spans="1:21">
      <c r="A3" s="1376" t="s">
        <v>1459</v>
      </c>
      <c r="B3" s="1377">
        <v>45616</v>
      </c>
      <c r="C3" s="2530" t="s">
        <v>1513</v>
      </c>
      <c r="D3" s="1377">
        <f>B3</f>
        <v>45616</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2157</v>
      </c>
      <c r="C4" s="1532">
        <f>SUMIF(土地估价师,B4,估价师及机构信息!E3:E17)</f>
        <v>0</v>
      </c>
      <c r="D4" s="1529" t="s">
        <v>2157</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3702</v>
      </c>
      <c r="C8" s="1386"/>
      <c r="D8" s="3574" t="s">
        <v>1464</v>
      </c>
      <c r="E8" s="1530" t="s">
        <v>3703</v>
      </c>
      <c r="F8" s="1387"/>
      <c r="G8" s="2601"/>
      <c r="H8" s="2601"/>
      <c r="I8" s="2602"/>
      <c r="J8" s="2601"/>
      <c r="K8" s="2585"/>
      <c r="L8" s="2581"/>
      <c r="M8" s="2581"/>
      <c r="N8" s="2582"/>
      <c r="O8" s="2583"/>
      <c r="P8" s="2582"/>
      <c r="Q8" s="2582"/>
      <c r="R8" s="2582"/>
      <c r="S8" s="2582"/>
      <c r="T8" s="2582"/>
      <c r="U8" s="2582"/>
    </row>
    <row r="9" spans="1:21" ht="15" thickBot="1">
      <c r="A9" s="2532" t="s">
        <v>1463</v>
      </c>
      <c r="B9" s="1388" t="s">
        <v>3703</v>
      </c>
      <c r="C9" s="1389"/>
      <c r="D9" s="3575"/>
      <c r="E9" s="1388"/>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t="s">
        <v>3705</v>
      </c>
      <c r="G10" s="1443"/>
      <c r="H10" s="1444"/>
      <c r="I10" s="1382"/>
      <c r="J10" s="2601"/>
      <c r="K10" s="2585"/>
      <c r="L10" s="2581"/>
      <c r="M10" s="2581"/>
      <c r="N10" s="2582"/>
      <c r="O10" s="2583"/>
      <c r="P10" s="2582"/>
      <c r="Q10" s="2582"/>
      <c r="R10" s="2582"/>
      <c r="S10" s="2582"/>
      <c r="T10" s="2582"/>
      <c r="U10" s="2582"/>
    </row>
    <row r="11" spans="1:21">
      <c r="A11" s="2534" t="s">
        <v>1518</v>
      </c>
      <c r="B11" s="1404" t="s">
        <v>3704</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571"/>
      <c r="C12" s="3572"/>
      <c r="D12" s="3573"/>
      <c r="E12" s="1405" t="s">
        <v>1579</v>
      </c>
      <c r="F12" s="3589" t="s">
        <v>2158</v>
      </c>
      <c r="G12" s="3590"/>
      <c r="H12" s="3590"/>
      <c r="I12" s="3591"/>
      <c r="J12" s="2601"/>
      <c r="K12" s="2585"/>
      <c r="L12" s="2581"/>
      <c r="M12" s="2581"/>
      <c r="N12" s="2582"/>
      <c r="O12" s="2583"/>
      <c r="P12" s="2582"/>
      <c r="Q12" s="2582"/>
      <c r="R12" s="2582"/>
      <c r="S12" s="2582"/>
      <c r="T12" s="2582"/>
      <c r="U12" s="2582"/>
    </row>
    <row r="13" spans="1:21">
      <c r="A13" s="1397" t="s">
        <v>1577</v>
      </c>
      <c r="B13" s="3571"/>
      <c r="C13" s="3572"/>
      <c r="D13" s="3573"/>
      <c r="E13" s="1405" t="s">
        <v>1579</v>
      </c>
      <c r="F13" s="3589" t="s">
        <v>2159</v>
      </c>
      <c r="G13" s="3590"/>
      <c r="H13" s="3590"/>
      <c r="I13" s="3591"/>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商业2064年6月5日</v>
      </c>
      <c r="L16" s="1405" t="str">
        <f>IF(OR(K16="",M16=""),"","、")</f>
        <v>、</v>
      </c>
      <c r="M16" s="1396" t="str">
        <f>IF(E17="","",E16&amp;TEXT(E17,"yyyy年m月d日;;"))</f>
        <v>办公2074年6月5日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2733</v>
      </c>
      <c r="B17" s="2536" t="s">
        <v>1473</v>
      </c>
      <c r="C17" s="3076">
        <v>71015</v>
      </c>
      <c r="D17" s="3076">
        <v>60058</v>
      </c>
      <c r="E17" s="3076">
        <v>63710</v>
      </c>
      <c r="F17" s="3076">
        <v>63710</v>
      </c>
      <c r="G17" s="3076">
        <v>63710</v>
      </c>
      <c r="H17" s="3076"/>
      <c r="I17" s="3076">
        <v>63710</v>
      </c>
      <c r="J17" s="2601"/>
      <c r="K17" s="2580" t="str">
        <f>CONCATENATE(K16,L16,M16,N16,O16,P16,Q16,R16,S16,T16,,U16)</f>
        <v>商业2064年6月5日、办公2074年6月5日、车库2074年6月5日、仓储2074年6月5日公共服务2074年6月5日</v>
      </c>
      <c r="L17" s="2581"/>
      <c r="M17" s="2581"/>
      <c r="N17" s="2582"/>
      <c r="O17" s="2583"/>
      <c r="P17" s="2582"/>
      <c r="Q17" s="2582"/>
      <c r="R17" s="2582"/>
      <c r="S17" s="2582"/>
      <c r="T17" s="2582"/>
      <c r="U17" s="2582"/>
    </row>
    <row r="18" spans="1:21">
      <c r="A18" s="1461"/>
      <c r="B18" s="2536" t="s">
        <v>1474</v>
      </c>
      <c r="C18" s="1394">
        <v>70</v>
      </c>
      <c r="D18" s="1394">
        <v>40</v>
      </c>
      <c r="E18" s="1394">
        <v>50</v>
      </c>
      <c r="F18" s="1394">
        <v>50</v>
      </c>
      <c r="G18" s="1394">
        <v>50</v>
      </c>
      <c r="H18" s="1394"/>
      <c r="I18" s="1394">
        <v>50</v>
      </c>
      <c r="J18" s="2601"/>
      <c r="K18" s="2585"/>
      <c r="L18" s="2581"/>
      <c r="M18" s="2581"/>
      <c r="N18" s="2582"/>
      <c r="O18" s="2583"/>
      <c r="P18" s="2582"/>
      <c r="Q18" s="2582"/>
      <c r="R18" s="2582"/>
      <c r="S18" s="2582"/>
      <c r="T18" s="2582"/>
      <c r="U18" s="2582"/>
    </row>
    <row r="19" spans="1:21">
      <c r="A19" s="1461"/>
      <c r="B19" s="1375" t="s">
        <v>1475</v>
      </c>
      <c r="C19" s="1456">
        <f>IF(A17="出让",IF(C17="","",ROUNDDOWN(MIN((C17-$D$3)/365,C18),2)),C18)</f>
        <v>69.58</v>
      </c>
      <c r="D19" s="1456">
        <f>IF(A17="出让",IF(D17="","",ROUNDDOWN(MIN((D17-$D$3)/365,D18),2)),D18)</f>
        <v>39.56</v>
      </c>
      <c r="E19" s="1395">
        <f>IF(A17="出让",IF(E17="","",ROUNDDOWN(MIN((E17-$D$3)/365,E18),2)),E18)</f>
        <v>49.57</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1"/>
      <c r="K19" s="2585"/>
      <c r="L19" s="2581"/>
      <c r="M19" s="2581"/>
      <c r="N19" s="2582"/>
      <c r="O19" s="2583"/>
      <c r="P19" s="2582"/>
      <c r="Q19" s="2582"/>
      <c r="R19" s="2582"/>
      <c r="S19" s="2582"/>
      <c r="T19" s="2582"/>
      <c r="U19" s="2582"/>
    </row>
    <row r="20" spans="1:21">
      <c r="A20" s="1479"/>
      <c r="B20" s="1480"/>
      <c r="C20" s="1481" t="s">
        <v>1578</v>
      </c>
      <c r="D20" s="3586"/>
      <c r="E20" s="3587"/>
      <c r="F20" s="3587"/>
      <c r="G20" s="3587"/>
      <c r="H20" s="3587"/>
      <c r="I20" s="3588"/>
      <c r="J20" s="2601"/>
      <c r="K20" s="2585"/>
      <c r="L20" s="2581"/>
      <c r="M20" s="2581"/>
      <c r="N20" s="2582"/>
      <c r="O20" s="2583"/>
      <c r="P20" s="2582"/>
      <c r="Q20" s="2582"/>
      <c r="R20" s="2582"/>
      <c r="S20" s="2582"/>
      <c r="T20" s="2582"/>
      <c r="U20" s="2582"/>
    </row>
    <row r="21" spans="1:21">
      <c r="A21" s="1461" t="s">
        <v>1476</v>
      </c>
      <c r="B21" s="1462" t="s">
        <v>1477</v>
      </c>
      <c r="C21" s="1457">
        <f>'数据-汇总表'!E3</f>
        <v>72618.101999999999</v>
      </c>
      <c r="D21" s="1458" t="s">
        <v>1478</v>
      </c>
      <c r="E21" s="3576" t="s">
        <v>1516</v>
      </c>
      <c r="F21" s="3577"/>
      <c r="G21" s="3577"/>
      <c r="H21" s="3577"/>
      <c r="I21" s="3578"/>
      <c r="J21" s="2601"/>
      <c r="K21" s="2585"/>
      <c r="L21" s="2581"/>
      <c r="M21" s="2581"/>
      <c r="N21" s="2582"/>
      <c r="O21" s="2583"/>
      <c r="P21" s="2582"/>
      <c r="Q21" s="2582"/>
      <c r="R21" s="2582"/>
      <c r="S21" s="2582"/>
      <c r="T21" s="2582"/>
      <c r="U21" s="2582"/>
    </row>
    <row r="22" spans="1:21">
      <c r="A22" s="2364" t="s">
        <v>877</v>
      </c>
      <c r="B22" s="1376" t="s">
        <v>1479</v>
      </c>
      <c r="C22" s="1396">
        <f>'数据-汇总表'!D3</f>
        <v>21822.21</v>
      </c>
      <c r="D22" s="1397" t="s">
        <v>1478</v>
      </c>
      <c r="E22" s="3576" t="s">
        <v>2160</v>
      </c>
      <c r="F22" s="3577"/>
      <c r="G22" s="3577"/>
      <c r="H22" s="3577"/>
      <c r="I22" s="3578"/>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79" t="s">
        <v>1484</v>
      </c>
      <c r="C24" s="3580"/>
      <c r="D24" s="3581" t="s">
        <v>1485</v>
      </c>
      <c r="E24" s="3582"/>
      <c r="F24" s="1412" t="s">
        <v>1486</v>
      </c>
      <c r="G24" s="2601"/>
      <c r="H24" s="2601"/>
      <c r="I24" s="2602"/>
      <c r="J24" s="2601"/>
      <c r="K24" s="3567"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567"/>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567"/>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594" t="s">
        <v>1519</v>
      </c>
      <c r="B31" s="1462" t="s">
        <v>1520</v>
      </c>
      <c r="C31" s="3592"/>
      <c r="D31" s="3593"/>
      <c r="E31" s="2601"/>
      <c r="F31" s="2601"/>
      <c r="G31" s="2601"/>
      <c r="H31" s="2601"/>
      <c r="I31" s="2602"/>
      <c r="J31" s="2601"/>
      <c r="K31" s="2588"/>
      <c r="L31" s="2582"/>
      <c r="M31" s="2582"/>
      <c r="N31" s="2582"/>
      <c r="O31" s="2582"/>
      <c r="P31" s="2582"/>
      <c r="Q31" s="2582"/>
      <c r="R31" s="2582"/>
      <c r="S31" s="2582"/>
      <c r="T31" s="2582"/>
      <c r="U31" s="2582"/>
    </row>
    <row r="32" spans="1:21">
      <c r="A32" s="3594"/>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94"/>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95"/>
      <c r="B34" s="1376" t="s">
        <v>1523</v>
      </c>
      <c r="C34" s="3596"/>
      <c r="D34" s="3597"/>
      <c r="E34" s="2601"/>
      <c r="F34" s="2601"/>
      <c r="G34" s="2601"/>
      <c r="H34" s="2601"/>
      <c r="I34" s="2602"/>
      <c r="J34" s="2601"/>
      <c r="K34" s="2588"/>
      <c r="L34" s="2582"/>
      <c r="M34" s="2582"/>
      <c r="N34" s="2582"/>
      <c r="O34" s="2582"/>
      <c r="P34" s="2582"/>
      <c r="Q34" s="2582"/>
      <c r="R34" s="2582"/>
      <c r="S34" s="2582"/>
      <c r="T34" s="2582"/>
      <c r="U34" s="2582"/>
    </row>
    <row r="35" spans="1:28">
      <c r="A35" s="3598" t="s">
        <v>785</v>
      </c>
      <c r="B35" s="1426"/>
      <c r="C35" s="1470" t="str">
        <f>IF(B35="场地平整","——","具体情况：")</f>
        <v>具体情况：</v>
      </c>
      <c r="D35" s="3600"/>
      <c r="E35" s="3601"/>
      <c r="F35" s="3601"/>
      <c r="G35" s="3601"/>
      <c r="H35" s="3601"/>
      <c r="I35" s="3602"/>
      <c r="J35" s="2601"/>
      <c r="K35" s="2589"/>
      <c r="L35" s="2581"/>
      <c r="M35" s="2581"/>
      <c r="N35" s="2582"/>
      <c r="O35" s="2583"/>
      <c r="P35" s="2582"/>
      <c r="Q35" s="2582"/>
      <c r="R35" s="2582"/>
      <c r="S35" s="2582"/>
      <c r="T35" s="2582"/>
      <c r="U35" s="2582"/>
    </row>
    <row r="36" spans="1:28">
      <c r="A36" s="3594"/>
      <c r="B36" s="3603" t="s">
        <v>1572</v>
      </c>
      <c r="C36" s="3604"/>
      <c r="D36" s="1485"/>
      <c r="E36" s="3605"/>
      <c r="F36" s="3605"/>
      <c r="G36" s="1397" t="str">
        <f>IF(B35="场地未平整","估价结果处理","")</f>
        <v/>
      </c>
      <c r="H36" s="3606"/>
      <c r="I36" s="3606"/>
      <c r="J36" s="2601"/>
      <c r="K36" s="2589"/>
      <c r="L36" s="2581"/>
      <c r="M36" s="2581"/>
      <c r="N36" s="2582"/>
      <c r="O36" s="2583"/>
      <c r="P36" s="2582"/>
      <c r="Q36" s="2582"/>
      <c r="R36" s="2582"/>
      <c r="S36" s="2582"/>
      <c r="T36" s="2582"/>
      <c r="U36" s="2582"/>
    </row>
    <row r="37" spans="1:28" ht="28.5">
      <c r="A37" s="3594"/>
      <c r="B37" s="3583"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94"/>
      <c r="B38" s="3584"/>
      <c r="C38" s="1384" t="s">
        <v>788</v>
      </c>
      <c r="D38" s="1484">
        <f>ROUNDDOWN(MIN(('数据-取费表'!$B$2-D37)/365,D34),1)</f>
        <v>124.9</v>
      </c>
      <c r="E38" s="1431" t="s">
        <v>789</v>
      </c>
      <c r="F38" s="2601"/>
      <c r="G38" s="2601"/>
      <c r="H38" s="2601"/>
      <c r="I38" s="2602"/>
      <c r="J38" s="2601"/>
      <c r="K38" s="2589"/>
      <c r="L38" s="2582"/>
      <c r="M38" s="2582"/>
      <c r="N38" s="2582"/>
      <c r="O38" s="2582"/>
      <c r="P38" s="2582"/>
      <c r="Q38" s="2582"/>
      <c r="R38" s="2582"/>
      <c r="S38" s="2582"/>
      <c r="T38" s="2582"/>
      <c r="U38" s="2582"/>
    </row>
    <row r="39" spans="1:28">
      <c r="A39" s="3595"/>
      <c r="B39" s="3585"/>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t="s">
        <v>2757</v>
      </c>
      <c r="C40" s="1398" t="s">
        <v>2758</v>
      </c>
      <c r="D40" s="1398" t="s">
        <v>2760</v>
      </c>
      <c r="E40" s="1398" t="s">
        <v>2761</v>
      </c>
      <c r="F40" s="1398" t="s">
        <v>2763</v>
      </c>
      <c r="G40" s="1398" t="s">
        <v>2764</v>
      </c>
      <c r="H40" s="1398"/>
      <c r="I40" s="2602"/>
      <c r="J40" s="2601"/>
      <c r="K40" s="1434">
        <f>COUNTIF(B40:H40,"——")</f>
        <v>0</v>
      </c>
      <c r="L40" s="1405" t="s">
        <v>1496</v>
      </c>
      <c r="M40" s="1402" t="s">
        <v>1497</v>
      </c>
      <c r="N40" s="1402" t="s">
        <v>1498</v>
      </c>
      <c r="O40" s="1402" t="s">
        <v>1499</v>
      </c>
      <c r="P40" s="1402" t="s">
        <v>1500</v>
      </c>
      <c r="Q40" s="1402" t="s">
        <v>1501</v>
      </c>
      <c r="R40" s="1402" t="s">
        <v>1502</v>
      </c>
      <c r="S40" s="3566" t="s">
        <v>1503</v>
      </c>
      <c r="T40" s="1405" t="str">
        <f>NUMBERSTRING(7-K40,1)&amp;"通"</f>
        <v>七通</v>
      </c>
      <c r="U40" s="2582"/>
    </row>
    <row r="41" spans="1:28">
      <c r="A41" s="1378"/>
      <c r="B41" s="3599" t="s">
        <v>1250</v>
      </c>
      <c r="C41" s="3599"/>
      <c r="D41" s="3599"/>
      <c r="E41" s="3599"/>
      <c r="F41" s="1435">
        <f>C10</f>
        <v>0</v>
      </c>
      <c r="G41" s="2601"/>
      <c r="H41" s="2601"/>
      <c r="I41" s="2602"/>
      <c r="J41" s="2601"/>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66"/>
      <c r="T41" s="1436" t="str">
        <f>IF(T40="一通",L41,IF(T40="二通",M41,IF(T40="三通",N41,IF(T40="四通",O41,IF(T40="五通",P41,IF(T40="六通",Q41,R41))))))</f>
        <v>通路、通电、通上水、通下水、燃气、平整、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1153</v>
      </c>
      <c r="C43" s="1440" t="s">
        <v>1153</v>
      </c>
      <c r="D43" s="1440" t="s">
        <v>1153</v>
      </c>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2161</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3"/>
  <sheetViews>
    <sheetView topLeftCell="F7" workbookViewId="0">
      <selection activeCell="A46" sqref="A1:XFD1048576"/>
    </sheetView>
  </sheetViews>
  <sheetFormatPr defaultRowHeight="15"/>
  <cols>
    <col min="1" max="1" width="13.25" style="3423"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3313</v>
      </c>
      <c r="B1" s="3395" t="s">
        <v>3314</v>
      </c>
      <c r="C1" s="3395" t="s">
        <v>3299</v>
      </c>
    </row>
    <row r="2" spans="1:16" s="3395" customFormat="1">
      <c r="A2" s="3407">
        <v>45470</v>
      </c>
      <c r="B2" s="3395" t="s">
        <v>3315</v>
      </c>
      <c r="C2" s="3395" t="s">
        <v>3316</v>
      </c>
    </row>
    <row r="3" spans="1:16" s="3395" customFormat="1">
      <c r="A3" s="3396"/>
      <c r="B3" s="3395" t="s">
        <v>3317</v>
      </c>
      <c r="C3" s="3395">
        <v>89529.8</v>
      </c>
      <c r="D3" s="3408" t="s">
        <v>3318</v>
      </c>
      <c r="G3" s="3409"/>
    </row>
    <row r="4" spans="1:16" s="3395" customFormat="1">
      <c r="A4" s="3396"/>
      <c r="B4" s="3395" t="s">
        <v>3319</v>
      </c>
      <c r="C4" s="3395" t="s">
        <v>3320</v>
      </c>
    </row>
    <row r="5" spans="1:16" s="3395" customFormat="1">
      <c r="A5" s="3396"/>
      <c r="B5" s="3395" t="s">
        <v>3321</v>
      </c>
      <c r="C5" s="3395">
        <v>791700</v>
      </c>
    </row>
    <row r="6" spans="1:16" s="3395" customFormat="1" ht="15.75" thickBot="1">
      <c r="A6" s="3396"/>
      <c r="B6" s="3395" t="s">
        <v>3322</v>
      </c>
      <c r="C6" s="3395">
        <v>35969</v>
      </c>
      <c r="E6" s="3395" t="s">
        <v>3323</v>
      </c>
      <c r="F6" s="3410">
        <v>45812</v>
      </c>
      <c r="L6" s="3497" t="s">
        <v>3401</v>
      </c>
      <c r="M6" s="3497" t="s">
        <v>3400</v>
      </c>
      <c r="N6" s="3497" t="s">
        <v>3401</v>
      </c>
      <c r="O6" s="3497" t="s">
        <v>3400</v>
      </c>
    </row>
    <row r="7" spans="1:16" s="3395" customFormat="1" ht="15.75">
      <c r="A7" s="3396"/>
      <c r="B7" s="3395" t="s">
        <v>3324</v>
      </c>
      <c r="C7" s="3395">
        <v>222463.3</v>
      </c>
      <c r="E7" s="3395" t="s">
        <v>3325</v>
      </c>
      <c r="F7" s="3410">
        <v>46908</v>
      </c>
      <c r="I7" s="3432" t="s">
        <v>3264</v>
      </c>
      <c r="J7" s="3433"/>
      <c r="K7" s="3434" t="s">
        <v>3265</v>
      </c>
      <c r="L7" s="3435" t="s">
        <v>3311</v>
      </c>
      <c r="M7" s="3435" t="s">
        <v>3306</v>
      </c>
      <c r="N7" s="3436" t="s">
        <v>3312</v>
      </c>
      <c r="O7" s="3437" t="s">
        <v>3309</v>
      </c>
      <c r="P7" s="3437"/>
    </row>
    <row r="8" spans="1:16" s="3395" customFormat="1" ht="15.75">
      <c r="A8" s="3396"/>
      <c r="B8" s="3395" t="s">
        <v>3326</v>
      </c>
      <c r="I8" s="3438" t="s">
        <v>3266</v>
      </c>
      <c r="J8" s="3439"/>
      <c r="K8" s="3478">
        <f>SUM(L8:O8)</f>
        <v>89529.8</v>
      </c>
      <c r="L8" s="3478">
        <f>H45</f>
        <v>20510.68</v>
      </c>
      <c r="M8" s="3478">
        <f>H46</f>
        <v>21822.21</v>
      </c>
      <c r="N8" s="3478">
        <f>H47</f>
        <v>24180.67</v>
      </c>
      <c r="O8" s="3479">
        <f>H48</f>
        <v>23016.240000000002</v>
      </c>
      <c r="P8" s="3441"/>
    </row>
    <row r="9" spans="1:16" s="3395" customFormat="1" ht="16.5" thickBot="1">
      <c r="A9" s="3396"/>
      <c r="I9" s="3442" t="s">
        <v>3267</v>
      </c>
      <c r="J9" s="3443"/>
      <c r="K9" s="3480">
        <f>SUM(L9:O9)</f>
        <v>362473.51</v>
      </c>
      <c r="L9" s="3480">
        <f>SUM(L10,L20)</f>
        <v>87412.36</v>
      </c>
      <c r="M9" s="3480">
        <f t="shared" ref="M9:O9" si="0">SUM(M10,M20)</f>
        <v>77918.551999999996</v>
      </c>
      <c r="N9" s="3480">
        <f t="shared" ref="N9" si="1">SUM(N10,N20)</f>
        <v>116666.25</v>
      </c>
      <c r="O9" s="3481">
        <f t="shared" si="0"/>
        <v>80476.347999999998</v>
      </c>
      <c r="P9" s="3444"/>
    </row>
    <row r="10" spans="1:16" s="3395" customFormat="1" ht="16.5" customHeight="1">
      <c r="A10" s="3411" t="s">
        <v>3327</v>
      </c>
      <c r="B10" s="3612" t="s">
        <v>3328</v>
      </c>
      <c r="C10" s="3612"/>
      <c r="D10" s="3612"/>
      <c r="E10" s="3612"/>
      <c r="F10" s="3612"/>
      <c r="G10" s="3612"/>
      <c r="I10" s="3457" t="s">
        <v>3268</v>
      </c>
      <c r="J10" s="3458"/>
      <c r="K10" s="3482">
        <f>SUM(L10:O10)</f>
        <v>222463.3</v>
      </c>
      <c r="L10" s="3482">
        <f>SUM(L11:L19)</f>
        <v>51276.7</v>
      </c>
      <c r="M10" s="3482">
        <f t="shared" ref="M10:O10" si="2">SUM(M11:M19)</f>
        <v>48008.861999999994</v>
      </c>
      <c r="N10" s="3482">
        <f t="shared" ref="N10" si="3">SUM(N11:N19)</f>
        <v>72542.009999999995</v>
      </c>
      <c r="O10" s="3483">
        <f t="shared" si="2"/>
        <v>50635.727999999996</v>
      </c>
      <c r="P10" s="3446" t="s">
        <v>3269</v>
      </c>
    </row>
    <row r="11" spans="1:16" s="3395" customFormat="1" ht="15.75">
      <c r="A11" s="3396"/>
      <c r="B11" s="3612"/>
      <c r="C11" s="3612"/>
      <c r="D11" s="3612"/>
      <c r="E11" s="3612"/>
      <c r="F11" s="3612"/>
      <c r="G11" s="3612"/>
      <c r="I11" s="3459" t="s">
        <v>3270</v>
      </c>
      <c r="J11" s="3460"/>
      <c r="K11" s="3461">
        <f>SUM(L11:O11)</f>
        <v>97856.917999999991</v>
      </c>
      <c r="L11" s="3461">
        <v>0</v>
      </c>
      <c r="M11" s="3486">
        <f>D74</f>
        <v>47623.45</v>
      </c>
      <c r="N11" s="3461">
        <v>0</v>
      </c>
      <c r="O11" s="3493">
        <f>D102</f>
        <v>50233.467999999993</v>
      </c>
      <c r="P11" s="3441"/>
    </row>
    <row r="12" spans="1:16" s="3395" customFormat="1" ht="15.75">
      <c r="A12" s="3396"/>
      <c r="I12" s="3459" t="s">
        <v>3272</v>
      </c>
      <c r="J12" s="3460"/>
      <c r="K12" s="3461">
        <f>SUM(L12:O12)</f>
        <v>26402.660000000003</v>
      </c>
      <c r="L12" s="3461">
        <f>D55</f>
        <v>9142.94</v>
      </c>
      <c r="M12" s="3461"/>
      <c r="N12" s="3490">
        <f>D82</f>
        <v>17259.72</v>
      </c>
      <c r="O12" s="3462"/>
      <c r="P12" s="3441"/>
    </row>
    <row r="13" spans="1:16" s="3395" customFormat="1">
      <c r="A13" s="3396"/>
      <c r="I13" s="3463" t="str">
        <f>E54</f>
        <v>酒店及附属用房</v>
      </c>
      <c r="J13" s="3460"/>
      <c r="K13" s="3461"/>
      <c r="L13" s="3461">
        <f>E55</f>
        <v>13600.52</v>
      </c>
      <c r="M13" s="3461"/>
      <c r="N13" s="3490">
        <f>E82</f>
        <v>44376.88</v>
      </c>
      <c r="O13" s="3462"/>
      <c r="P13" s="3441"/>
    </row>
    <row r="14" spans="1:16" s="3395" customFormat="1">
      <c r="A14" s="3396"/>
      <c r="I14" s="3463" t="str">
        <f>F54</f>
        <v>酒店配套商业</v>
      </c>
      <c r="J14" s="3460"/>
      <c r="K14" s="3461"/>
      <c r="L14" s="3461">
        <f>F55</f>
        <v>5806.71</v>
      </c>
      <c r="M14" s="3461"/>
      <c r="N14" s="3490">
        <f>F82</f>
        <v>5549.33</v>
      </c>
      <c r="O14" s="3462"/>
      <c r="P14" s="3441"/>
    </row>
    <row r="15" spans="1:16" s="3395" customFormat="1" ht="15.75">
      <c r="A15" s="3396"/>
      <c r="B15" s="3394" t="s">
        <v>3408</v>
      </c>
      <c r="C15" s="3394"/>
      <c r="D15" s="3394"/>
      <c r="E15" s="3394"/>
      <c r="F15" s="3394"/>
      <c r="G15" s="3394"/>
      <c r="H15" s="3394"/>
      <c r="I15" s="3464" t="s">
        <v>2785</v>
      </c>
      <c r="J15" s="3460"/>
      <c r="K15" s="3461">
        <f>SUM(L15:O15)</f>
        <v>13346.17</v>
      </c>
      <c r="L15" s="3461">
        <f>G55</f>
        <v>13346.17</v>
      </c>
      <c r="M15" s="3461"/>
      <c r="N15" s="3461"/>
      <c r="O15" s="3462"/>
      <c r="P15" s="3441"/>
    </row>
    <row r="16" spans="1:16" s="3395" customFormat="1" ht="15.75">
      <c r="A16" s="3396"/>
      <c r="B16" s="3394" t="s">
        <v>3409</v>
      </c>
      <c r="C16" s="3394" t="s">
        <v>3300</v>
      </c>
      <c r="D16" s="3394">
        <v>19930.46</v>
      </c>
      <c r="E16" s="3394">
        <v>1.8</v>
      </c>
      <c r="F16" s="3413">
        <f>C5-F18</f>
        <v>766461</v>
      </c>
      <c r="G16" s="3414">
        <f>F16/((D16+D17)*E16)*10000</f>
        <v>130567.81234891948</v>
      </c>
      <c r="H16" s="3414"/>
      <c r="I16" s="3459" t="s">
        <v>3273</v>
      </c>
      <c r="J16" s="3460"/>
      <c r="K16" s="3461"/>
      <c r="L16" s="3461">
        <f>I55</f>
        <v>0</v>
      </c>
      <c r="M16" s="3486">
        <f>E74</f>
        <v>292.06200000000001</v>
      </c>
      <c r="N16" s="3490">
        <f>I82</f>
        <v>4920</v>
      </c>
      <c r="O16" s="3493">
        <f>E102</f>
        <v>294.05</v>
      </c>
      <c r="P16" s="3441"/>
    </row>
    <row r="17" spans="1:16" s="3395" customFormat="1" ht="15.75">
      <c r="A17" s="3396"/>
      <c r="B17" s="3498" t="s">
        <v>3410</v>
      </c>
      <c r="C17" s="3394" t="s">
        <v>3300</v>
      </c>
      <c r="D17" s="3394">
        <v>12681.84</v>
      </c>
      <c r="E17" s="3394">
        <v>1.8</v>
      </c>
      <c r="F17" s="3394"/>
      <c r="G17" s="3415"/>
      <c r="H17" s="3415"/>
      <c r="I17" s="3464" t="s">
        <v>3378</v>
      </c>
      <c r="J17" s="3460"/>
      <c r="K17" s="3461">
        <f t="shared" ref="K17:K24" si="4">SUM(L17:O17)</f>
        <v>9000</v>
      </c>
      <c r="L17" s="3461">
        <f>H55</f>
        <v>9000</v>
      </c>
      <c r="M17" s="3461"/>
      <c r="N17" s="3461"/>
      <c r="O17" s="3462">
        <f>H103</f>
        <v>0</v>
      </c>
      <c r="P17" s="3441" t="s">
        <v>3274</v>
      </c>
    </row>
    <row r="18" spans="1:16" s="3395" customFormat="1" ht="15.75">
      <c r="A18" s="3396"/>
      <c r="B18" s="3394" t="s">
        <v>3411</v>
      </c>
      <c r="C18" s="3394" t="s">
        <v>3271</v>
      </c>
      <c r="D18" s="3394">
        <v>13396.82</v>
      </c>
      <c r="E18" s="3394">
        <v>2</v>
      </c>
      <c r="F18" s="3413">
        <v>25239</v>
      </c>
      <c r="G18" s="3414">
        <f>F18/(D18*E18)*10000</f>
        <v>9419.7727520411572</v>
      </c>
      <c r="H18" s="3414"/>
      <c r="I18" s="3459" t="s">
        <v>3275</v>
      </c>
      <c r="J18" s="3460"/>
      <c r="K18" s="3461">
        <f t="shared" si="4"/>
        <v>284.19</v>
      </c>
      <c r="L18" s="3461">
        <v>136</v>
      </c>
      <c r="M18" s="3486">
        <f>G64</f>
        <v>46.63</v>
      </c>
      <c r="N18" s="3461">
        <v>60</v>
      </c>
      <c r="O18" s="3462">
        <v>41.56</v>
      </c>
      <c r="P18" s="3441"/>
    </row>
    <row r="19" spans="1:16" s="3395" customFormat="1" ht="16.5" thickBot="1">
      <c r="A19" s="3396"/>
      <c r="B19" s="3412"/>
      <c r="C19" s="3394"/>
      <c r="D19" s="3394">
        <f>SUM(D16:D18)</f>
        <v>46009.119999999995</v>
      </c>
      <c r="E19" s="3394">
        <f>D19-D17</f>
        <v>33327.279999999999</v>
      </c>
      <c r="F19" s="3394"/>
      <c r="G19" s="3394"/>
      <c r="H19" s="3394"/>
      <c r="I19" s="3465" t="s">
        <v>3276</v>
      </c>
      <c r="J19" s="3466"/>
      <c r="K19" s="3467">
        <f t="shared" si="4"/>
        <v>733.80999999999983</v>
      </c>
      <c r="L19" s="3467">
        <f>J55-L18+J56</f>
        <v>244.36</v>
      </c>
      <c r="M19" s="3487">
        <f>G74-G64</f>
        <v>46.719999999999992</v>
      </c>
      <c r="N19" s="3491">
        <f>J82-N18</f>
        <v>376.07999999999993</v>
      </c>
      <c r="O19" s="3494">
        <f>G102-O18</f>
        <v>66.650000000000006</v>
      </c>
      <c r="P19" s="3452"/>
    </row>
    <row r="20" spans="1:16" s="3395" customFormat="1" ht="15.75">
      <c r="A20" s="3396"/>
      <c r="B20" s="3416"/>
      <c r="I20" s="3468" t="s">
        <v>3277</v>
      </c>
      <c r="J20" s="3469"/>
      <c r="K20" s="3484">
        <f t="shared" si="4"/>
        <v>140010.21</v>
      </c>
      <c r="L20" s="3484">
        <f>SUM(L21:L30)</f>
        <v>36135.660000000003</v>
      </c>
      <c r="M20" s="3484">
        <f t="shared" ref="M20:O20" si="5">SUM(M21:M30)</f>
        <v>29909.690000000002</v>
      </c>
      <c r="N20" s="3484">
        <f t="shared" ref="N20" si="6">SUM(N21:N30)</f>
        <v>44124.24</v>
      </c>
      <c r="O20" s="3485">
        <f t="shared" si="5"/>
        <v>29840.620000000006</v>
      </c>
      <c r="P20" s="3445"/>
    </row>
    <row r="21" spans="1:16" s="3395" customFormat="1" ht="15.75">
      <c r="A21" s="3396"/>
      <c r="B21" s="3416" t="s">
        <v>3329</v>
      </c>
      <c r="I21" s="3470" t="s">
        <v>3273</v>
      </c>
      <c r="J21" s="3471"/>
      <c r="K21" s="3472">
        <f t="shared" si="4"/>
        <v>1948.29</v>
      </c>
      <c r="L21" s="3472"/>
      <c r="M21" s="3488">
        <f>J74</f>
        <v>669.92000000000007</v>
      </c>
      <c r="N21" s="3492">
        <f>O82</f>
        <v>645</v>
      </c>
      <c r="O21" s="3495">
        <f>J102</f>
        <v>633.37</v>
      </c>
      <c r="P21" s="3441"/>
    </row>
    <row r="22" spans="1:16" s="3395" customFormat="1">
      <c r="A22" s="3396"/>
      <c r="B22" s="3416"/>
      <c r="I22" s="3470" t="str">
        <f>L54</f>
        <v>商业</v>
      </c>
      <c r="J22" s="3471"/>
      <c r="K22" s="3472"/>
      <c r="L22" s="3472">
        <f>L55</f>
        <v>462.56</v>
      </c>
      <c r="M22" s="3472"/>
      <c r="N22" s="3492">
        <f>L82</f>
        <v>9323.9699999999993</v>
      </c>
      <c r="O22" s="3473"/>
      <c r="P22" s="3441"/>
    </row>
    <row r="23" spans="1:16" s="3395" customFormat="1">
      <c r="A23" s="3396"/>
      <c r="B23" s="3416"/>
      <c r="I23" s="3470" t="str">
        <f>M54</f>
        <v>酒店及附属用房</v>
      </c>
      <c r="J23" s="3471"/>
      <c r="K23" s="3472"/>
      <c r="L23" s="3472">
        <f>M55</f>
        <v>1519.88</v>
      </c>
      <c r="M23" s="3472"/>
      <c r="N23" s="3492">
        <f>M82</f>
        <v>0</v>
      </c>
      <c r="O23" s="3473"/>
      <c r="P23" s="3441"/>
    </row>
    <row r="24" spans="1:16" s="3395" customFormat="1" ht="15.75">
      <c r="A24" s="3396"/>
      <c r="B24" s="3429" t="s">
        <v>3330</v>
      </c>
      <c r="C24" s="3426" t="s">
        <v>3363</v>
      </c>
      <c r="D24" s="3426" t="s">
        <v>3364</v>
      </c>
      <c r="I24" s="3474" t="s">
        <v>3378</v>
      </c>
      <c r="J24" s="3471"/>
      <c r="K24" s="3472">
        <f t="shared" si="4"/>
        <v>9813.93</v>
      </c>
      <c r="L24" s="3472">
        <f>N55</f>
        <v>9813.93</v>
      </c>
      <c r="M24" s="3472"/>
      <c r="N24" s="3492">
        <f>N82</f>
        <v>0</v>
      </c>
      <c r="O24" s="3473"/>
      <c r="P24" s="3441" t="s">
        <v>3278</v>
      </c>
    </row>
    <row r="25" spans="1:16" s="3395" customFormat="1" ht="15.75">
      <c r="A25" s="3396"/>
      <c r="B25" s="3429"/>
      <c r="C25" s="3426"/>
      <c r="D25" s="3426"/>
      <c r="I25" s="3474" t="s">
        <v>3379</v>
      </c>
      <c r="J25" s="3471"/>
      <c r="K25" s="3472"/>
      <c r="L25" s="3472">
        <f>P55</f>
        <v>123.04</v>
      </c>
      <c r="M25" s="3472"/>
      <c r="N25" s="3492">
        <f>P82</f>
        <v>116.54</v>
      </c>
      <c r="O25" s="3473"/>
      <c r="P25" s="3441"/>
    </row>
    <row r="26" spans="1:16" s="3395" customFormat="1" ht="15.75">
      <c r="A26" s="3396"/>
      <c r="I26" s="3470" t="s">
        <v>3279</v>
      </c>
      <c r="J26" s="3471"/>
      <c r="K26" s="3472">
        <f>SUM(L26:O26)</f>
        <v>29228</v>
      </c>
      <c r="L26" s="3472">
        <f>R55</f>
        <v>7396.03</v>
      </c>
      <c r="M26" s="3488">
        <f>L74</f>
        <v>4974.2400000000007</v>
      </c>
      <c r="N26" s="3492">
        <f>R82</f>
        <v>11758.38</v>
      </c>
      <c r="O26" s="3495">
        <f>L102</f>
        <v>5099.3500000000004</v>
      </c>
      <c r="P26" s="3441"/>
    </row>
    <row r="27" spans="1:16" s="3395" customFormat="1" ht="15.75">
      <c r="A27" s="3396"/>
      <c r="I27" s="3470" t="s">
        <v>3280</v>
      </c>
      <c r="J27" s="3471"/>
      <c r="K27" s="3472">
        <f>SUM(L27:O27)</f>
        <v>57570.640000000007</v>
      </c>
      <c r="L27" s="3472">
        <f>Q55</f>
        <v>11204.280000000002</v>
      </c>
      <c r="M27" s="3488">
        <f>I74</f>
        <v>15515.510000000002</v>
      </c>
      <c r="N27" s="3492">
        <f>Q82</f>
        <v>13842.479999999998</v>
      </c>
      <c r="O27" s="3495">
        <f>I102</f>
        <v>17008.370000000003</v>
      </c>
      <c r="P27" s="3441"/>
    </row>
    <row r="28" spans="1:16" s="3395" customFormat="1" ht="15.75">
      <c r="A28" s="3430">
        <v>45468</v>
      </c>
      <c r="B28" s="3416" t="s">
        <v>3331</v>
      </c>
      <c r="C28" s="3395" t="s">
        <v>3332</v>
      </c>
      <c r="I28" s="3470" t="s">
        <v>3276</v>
      </c>
      <c r="J28" s="3471"/>
      <c r="K28" s="3472">
        <f>SUM(L28:O28)</f>
        <v>24863.010000000002</v>
      </c>
      <c r="L28" s="3472">
        <f>S55</f>
        <v>5615.94</v>
      </c>
      <c r="M28" s="3488">
        <f>M74</f>
        <v>5253.73</v>
      </c>
      <c r="N28" s="3492">
        <f>S82</f>
        <v>8437.8700000000008</v>
      </c>
      <c r="O28" s="3495">
        <f>M102</f>
        <v>5555.4699999999993</v>
      </c>
      <c r="P28" s="3441"/>
    </row>
    <row r="29" spans="1:16" s="3395" customFormat="1" ht="15.75">
      <c r="A29" s="3396"/>
      <c r="I29" s="3470" t="s">
        <v>3281</v>
      </c>
      <c r="J29" s="3471"/>
      <c r="K29" s="3472">
        <f>SUM(L29:O29)</f>
        <v>0</v>
      </c>
      <c r="L29" s="3472"/>
      <c r="M29" s="3472"/>
      <c r="N29" s="3472"/>
      <c r="O29" s="3473"/>
      <c r="P29" s="3441"/>
    </row>
    <row r="30" spans="1:16" s="3395" customFormat="1" ht="16.5" thickBot="1">
      <c r="A30" s="3396"/>
      <c r="I30" s="3475" t="s">
        <v>3282</v>
      </c>
      <c r="J30" s="3476"/>
      <c r="K30" s="3477">
        <f>SUM(L30:O30)</f>
        <v>5040.3500000000004</v>
      </c>
      <c r="L30" s="3477"/>
      <c r="M30" s="3489">
        <f>K74</f>
        <v>3496.29</v>
      </c>
      <c r="N30" s="3477"/>
      <c r="O30" s="3496">
        <f>K102</f>
        <v>1544.06</v>
      </c>
      <c r="P30" s="3452"/>
    </row>
    <row r="31" spans="1:16" s="3395" customFormat="1" ht="15.75">
      <c r="A31" s="3396"/>
      <c r="B31" s="3394" t="s">
        <v>3333</v>
      </c>
      <c r="C31" s="3394">
        <v>10000000</v>
      </c>
      <c r="D31" s="3417">
        <v>45498</v>
      </c>
      <c r="E31" s="3613" t="s">
        <v>3334</v>
      </c>
      <c r="F31" s="3394"/>
      <c r="G31" s="3394"/>
      <c r="I31" s="3453" t="s">
        <v>3283</v>
      </c>
      <c r="J31" s="3454"/>
      <c r="K31" s="3455"/>
      <c r="L31" s="3455">
        <v>2.5</v>
      </c>
      <c r="M31" s="3455">
        <v>2.2000000000000002</v>
      </c>
      <c r="N31" s="3455">
        <v>3</v>
      </c>
      <c r="O31" s="3456">
        <v>2.2000000000000002</v>
      </c>
      <c r="P31" s="3456"/>
    </row>
    <row r="32" spans="1:16" s="3395" customFormat="1" ht="15.75">
      <c r="A32" s="3396"/>
      <c r="B32" s="3394"/>
      <c r="C32" s="3394">
        <v>318000000</v>
      </c>
      <c r="D32" s="3417">
        <v>45532</v>
      </c>
      <c r="E32" s="3613"/>
      <c r="F32" s="3394"/>
      <c r="G32" s="3394"/>
      <c r="I32" s="3447" t="s">
        <v>3284</v>
      </c>
      <c r="J32" s="3448"/>
      <c r="K32" s="3440">
        <f>SUM(L32:O32)</f>
        <v>752</v>
      </c>
      <c r="L32" s="3440"/>
      <c r="M32" s="3440">
        <v>320</v>
      </c>
      <c r="N32" s="3440"/>
      <c r="O32" s="3441">
        <v>432</v>
      </c>
      <c r="P32" s="3441"/>
    </row>
    <row r="33" spans="1:16" s="3395" customFormat="1" ht="16.5" thickBot="1">
      <c r="A33" s="3396"/>
      <c r="B33" s="3394"/>
      <c r="C33" s="3394"/>
      <c r="D33" s="3394"/>
      <c r="E33" s="3613"/>
      <c r="F33" s="3394"/>
      <c r="G33" s="3394"/>
      <c r="I33" s="3449" t="s">
        <v>3285</v>
      </c>
      <c r="J33" s="3450"/>
      <c r="K33" s="3451">
        <f>SUM(L33:O33)</f>
        <v>1627</v>
      </c>
      <c r="L33" s="3451">
        <v>312</v>
      </c>
      <c r="M33" s="3451">
        <v>413</v>
      </c>
      <c r="N33" s="3451">
        <v>377</v>
      </c>
      <c r="O33" s="3452">
        <v>525</v>
      </c>
      <c r="P33" s="3452"/>
    </row>
    <row r="34" spans="1:16" s="3395" customFormat="1">
      <c r="A34" s="3396"/>
      <c r="B34" s="3394"/>
      <c r="C34" s="3394"/>
      <c r="D34" s="3394"/>
      <c r="E34" s="3613"/>
      <c r="F34" s="3394"/>
      <c r="G34" s="3394"/>
      <c r="I34" s="3497" t="s">
        <v>3743</v>
      </c>
      <c r="K34" s="3395">
        <f>SUM(L34:O34)</f>
        <v>1090</v>
      </c>
      <c r="L34" s="3395">
        <v>184</v>
      </c>
      <c r="M34" s="3395">
        <v>296</v>
      </c>
      <c r="N34" s="3395">
        <v>208</v>
      </c>
      <c r="O34" s="3395">
        <v>402</v>
      </c>
    </row>
    <row r="35" spans="1:16" s="3395" customFormat="1">
      <c r="A35" s="3396"/>
      <c r="B35" s="3394"/>
      <c r="C35" s="3394">
        <f>C31+C32+C33+C34</f>
        <v>328000000</v>
      </c>
      <c r="D35" s="3394"/>
      <c r="E35" s="3613"/>
      <c r="F35" s="3394"/>
      <c r="G35" s="3394"/>
      <c r="L35" s="3519">
        <f>L27/L34</f>
        <v>60.892826086956532</v>
      </c>
      <c r="M35" s="3519">
        <f t="shared" ref="M35:O35" si="7">M27/M34</f>
        <v>52.417263513513518</v>
      </c>
      <c r="N35" s="3519">
        <f t="shared" si="7"/>
        <v>66.550384615384601</v>
      </c>
      <c r="O35" s="3519">
        <f t="shared" si="7"/>
        <v>42.309378109452744</v>
      </c>
    </row>
    <row r="36" spans="1:16" s="3395" customFormat="1">
      <c r="A36" s="3396"/>
      <c r="B36" s="3394"/>
      <c r="C36" s="3394"/>
      <c r="D36" s="3394"/>
      <c r="E36" s="3613"/>
      <c r="F36" s="3394"/>
      <c r="G36" s="3394"/>
    </row>
    <row r="37" spans="1:16" s="3418" customFormat="1">
      <c r="A37" s="3396"/>
      <c r="B37" s="3394" t="s">
        <v>3335</v>
      </c>
      <c r="C37" s="3394"/>
      <c r="D37" s="3394">
        <f>C5*0.03</f>
        <v>23751</v>
      </c>
      <c r="E37" s="3613"/>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3336</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4" t="s">
        <v>3304</v>
      </c>
      <c r="C44" s="3425"/>
      <c r="D44" s="3425"/>
      <c r="E44" s="3425"/>
      <c r="F44" s="3425"/>
      <c r="G44" s="3425"/>
      <c r="H44" s="3424"/>
      <c r="J44" s="3408">
        <v>204944</v>
      </c>
    </row>
    <row r="45" spans="1:16" s="3395" customFormat="1" ht="14.25">
      <c r="B45" s="3424" t="s">
        <v>3311</v>
      </c>
      <c r="C45" s="3424" t="s">
        <v>3305</v>
      </c>
      <c r="D45" s="3424"/>
      <c r="E45" s="3424"/>
      <c r="F45" s="3426" t="s">
        <v>3360</v>
      </c>
      <c r="G45" s="3424"/>
      <c r="H45" s="3424">
        <v>20510.68</v>
      </c>
      <c r="I45" s="3408">
        <f>L31</f>
        <v>2.5</v>
      </c>
      <c r="J45" s="3516">
        <f>J44*10000/(H45*I45+H47*I47)</f>
        <v>16551.941140397925</v>
      </c>
    </row>
    <row r="46" spans="1:16">
      <c r="B46" s="3424" t="s">
        <v>3306</v>
      </c>
      <c r="C46" s="3424" t="s">
        <v>3307</v>
      </c>
      <c r="D46" s="3427"/>
      <c r="E46" s="3427"/>
      <c r="F46" s="3426" t="s">
        <v>3361</v>
      </c>
      <c r="G46" s="3427"/>
      <c r="H46" s="3424">
        <v>21822.21</v>
      </c>
      <c r="I46" s="3397">
        <f>M31</f>
        <v>2.2000000000000002</v>
      </c>
      <c r="J46" s="3516">
        <f>J43*10000/(H46*I46+H48*I48)</f>
        <v>58295.746375954317</v>
      </c>
    </row>
    <row r="47" spans="1:16">
      <c r="B47" s="3427" t="s">
        <v>3312</v>
      </c>
      <c r="C47" s="3424" t="s">
        <v>3308</v>
      </c>
      <c r="D47" s="3427"/>
      <c r="E47" s="3427"/>
      <c r="F47" s="3426" t="s">
        <v>3362</v>
      </c>
      <c r="G47" s="3427"/>
      <c r="H47" s="3424">
        <v>24180.67</v>
      </c>
      <c r="I47" s="3397">
        <f>N31</f>
        <v>3</v>
      </c>
      <c r="J47" s="3516">
        <f>J45</f>
        <v>16551.941140397925</v>
      </c>
    </row>
    <row r="48" spans="1:16">
      <c r="B48" s="3424" t="s">
        <v>3309</v>
      </c>
      <c r="C48" s="3424" t="s">
        <v>3310</v>
      </c>
      <c r="D48" s="3427"/>
      <c r="E48" s="3427"/>
      <c r="F48" s="3426" t="s">
        <v>3361</v>
      </c>
      <c r="G48" s="3427"/>
      <c r="H48" s="3424">
        <v>23016.240000000002</v>
      </c>
      <c r="I48" s="3397">
        <f>O31</f>
        <v>2.2000000000000002</v>
      </c>
      <c r="J48" s="3516">
        <f>J46</f>
        <v>58295.746375954317</v>
      </c>
    </row>
    <row r="49" spans="1:20">
      <c r="B49" s="3428"/>
      <c r="C49" s="3424"/>
      <c r="D49" s="3424"/>
      <c r="E49" s="3424"/>
      <c r="F49" s="3424"/>
      <c r="G49" s="3427"/>
      <c r="H49" s="3424">
        <f>SUM(H45:H48)</f>
        <v>89529.8</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07" t="s">
        <v>3301</v>
      </c>
      <c r="B52" s="3607" t="s">
        <v>3286</v>
      </c>
      <c r="C52" s="3607"/>
      <c r="D52" s="3607"/>
      <c r="E52" s="3607"/>
      <c r="F52" s="3607"/>
      <c r="G52" s="3607"/>
      <c r="H52" s="3607"/>
      <c r="I52" s="3607"/>
      <c r="J52" s="3607"/>
      <c r="K52" s="3607"/>
      <c r="L52" s="3607"/>
      <c r="M52" s="3607"/>
      <c r="N52" s="3607"/>
      <c r="O52" s="3607"/>
      <c r="P52" s="3607"/>
      <c r="Q52" s="3607"/>
      <c r="R52" s="3607"/>
      <c r="S52" s="3607"/>
      <c r="T52" s="3397" t="s">
        <v>3387</v>
      </c>
    </row>
    <row r="53" spans="1:20" ht="14.25">
      <c r="A53" s="3607"/>
      <c r="B53" s="3607" t="s">
        <v>3287</v>
      </c>
      <c r="C53" s="3608" t="s">
        <v>3288</v>
      </c>
      <c r="D53" s="3608"/>
      <c r="E53" s="3608"/>
      <c r="F53" s="3608"/>
      <c r="G53" s="3608"/>
      <c r="H53" s="3608"/>
      <c r="I53" s="3608"/>
      <c r="J53" s="3608"/>
      <c r="K53" s="3608" t="s">
        <v>3288</v>
      </c>
      <c r="L53" s="3608"/>
      <c r="M53" s="3608"/>
      <c r="N53" s="3608"/>
      <c r="O53" s="3608"/>
      <c r="P53" s="3608"/>
      <c r="Q53" s="3608"/>
      <c r="R53" s="3608"/>
      <c r="S53" s="3608"/>
    </row>
    <row r="54" spans="1:20">
      <c r="A54" s="3607"/>
      <c r="B54" s="3607"/>
      <c r="C54" s="3389" t="s">
        <v>16</v>
      </c>
      <c r="D54" s="3386" t="s">
        <v>3298</v>
      </c>
      <c r="E54" s="3386" t="s">
        <v>3376</v>
      </c>
      <c r="F54" s="3386" t="s">
        <v>3377</v>
      </c>
      <c r="G54" s="3386" t="s">
        <v>2785</v>
      </c>
      <c r="H54" s="3386" t="s">
        <v>3378</v>
      </c>
      <c r="I54" s="3386" t="s">
        <v>3373</v>
      </c>
      <c r="J54" s="3386" t="s">
        <v>3292</v>
      </c>
      <c r="K54" s="3386" t="s">
        <v>16</v>
      </c>
      <c r="L54" s="3386" t="s">
        <v>3298</v>
      </c>
      <c r="M54" s="3386" t="s">
        <v>3376</v>
      </c>
      <c r="N54" s="3386" t="s">
        <v>3378</v>
      </c>
      <c r="O54" s="3386" t="s">
        <v>3373</v>
      </c>
      <c r="P54" s="3386" t="s">
        <v>3379</v>
      </c>
      <c r="Q54" s="3386" t="s">
        <v>3293</v>
      </c>
      <c r="R54" s="3386" t="s">
        <v>3291</v>
      </c>
      <c r="S54" s="3386" t="s">
        <v>3292</v>
      </c>
    </row>
    <row r="55" spans="1:20" ht="30">
      <c r="A55" s="3431" t="s">
        <v>3380</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3382</v>
      </c>
    </row>
    <row r="56" spans="1:20">
      <c r="A56" s="3390" t="s">
        <v>3381</v>
      </c>
      <c r="B56" s="3389">
        <f t="shared" ref="B56:B57" si="8">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3382</v>
      </c>
    </row>
    <row r="57" spans="1:20">
      <c r="A57" s="3390" t="s">
        <v>3295</v>
      </c>
      <c r="B57" s="3389">
        <f t="shared" si="8"/>
        <v>87412.36</v>
      </c>
      <c r="C57" s="3389">
        <f>SUM(C55:C56)</f>
        <v>51276.7</v>
      </c>
      <c r="D57" s="3389">
        <f t="shared" ref="D57:S57" si="9">SUM(D55:D56)</f>
        <v>9142.94</v>
      </c>
      <c r="E57" s="3389">
        <f t="shared" si="9"/>
        <v>13600.52</v>
      </c>
      <c r="F57" s="3389">
        <f t="shared" si="9"/>
        <v>5806.71</v>
      </c>
      <c r="G57" s="3389">
        <f t="shared" si="9"/>
        <v>13346.17</v>
      </c>
      <c r="H57" s="3389">
        <f t="shared" si="9"/>
        <v>9000</v>
      </c>
      <c r="I57" s="3389">
        <f t="shared" si="9"/>
        <v>0</v>
      </c>
      <c r="J57" s="3389">
        <f t="shared" si="9"/>
        <v>380.36</v>
      </c>
      <c r="K57" s="3389">
        <f t="shared" si="9"/>
        <v>36135.660000000003</v>
      </c>
      <c r="L57" s="3389">
        <f t="shared" si="9"/>
        <v>462.56</v>
      </c>
      <c r="M57" s="3389">
        <f t="shared" si="9"/>
        <v>1519.88</v>
      </c>
      <c r="N57" s="3389">
        <f t="shared" si="9"/>
        <v>9813.93</v>
      </c>
      <c r="O57" s="3389">
        <f t="shared" si="9"/>
        <v>0</v>
      </c>
      <c r="P57" s="3389">
        <f t="shared" si="9"/>
        <v>123.04</v>
      </c>
      <c r="Q57" s="3389">
        <f t="shared" si="9"/>
        <v>11204.280000000002</v>
      </c>
      <c r="R57" s="3389">
        <f t="shared" si="9"/>
        <v>7396.03</v>
      </c>
      <c r="S57" s="3389">
        <f t="shared" si="9"/>
        <v>5615.94</v>
      </c>
    </row>
    <row r="58" spans="1:20">
      <c r="A58" s="3396"/>
      <c r="B58" s="3395"/>
      <c r="C58" s="3395"/>
      <c r="D58" s="3395"/>
      <c r="E58" s="3395" t="s">
        <v>3403</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07" t="str">
        <f>B46</f>
        <v>0058地块</v>
      </c>
      <c r="B60" s="3607" t="s">
        <v>3286</v>
      </c>
      <c r="C60" s="3607"/>
      <c r="D60" s="3607"/>
      <c r="E60" s="3607"/>
      <c r="F60" s="3607"/>
      <c r="G60" s="3607"/>
      <c r="H60" s="3607"/>
      <c r="I60" s="3607"/>
      <c r="J60" s="3607"/>
      <c r="K60" s="3607"/>
      <c r="L60" s="3607"/>
      <c r="M60" s="3607"/>
      <c r="N60" s="3387"/>
    </row>
    <row r="61" spans="1:20" s="3388" customFormat="1">
      <c r="A61" s="3607"/>
      <c r="B61" s="3609" t="s">
        <v>3287</v>
      </c>
      <c r="C61" s="3611" t="s">
        <v>3288</v>
      </c>
      <c r="D61" s="3611"/>
      <c r="E61" s="3611"/>
      <c r="F61" s="3611"/>
      <c r="G61" s="3611"/>
      <c r="H61" s="3607" t="s">
        <v>3289</v>
      </c>
      <c r="I61" s="3607"/>
      <c r="J61" s="3607"/>
      <c r="K61" s="3607"/>
      <c r="L61" s="3607"/>
      <c r="M61" s="3607"/>
      <c r="N61" s="3386" t="s">
        <v>3290</v>
      </c>
    </row>
    <row r="62" spans="1:20" s="3388" customFormat="1">
      <c r="A62" s="3607"/>
      <c r="B62" s="3610"/>
      <c r="C62" s="3389" t="s">
        <v>16</v>
      </c>
      <c r="D62" s="3386" t="s">
        <v>2716</v>
      </c>
      <c r="E62" s="3386" t="s">
        <v>3373</v>
      </c>
      <c r="F62" s="3389" t="s">
        <v>3291</v>
      </c>
      <c r="G62" s="3386" t="s">
        <v>3292</v>
      </c>
      <c r="H62" s="3386" t="s">
        <v>16</v>
      </c>
      <c r="I62" s="3386" t="s">
        <v>3293</v>
      </c>
      <c r="J62" s="3386" t="s">
        <v>3373</v>
      </c>
      <c r="K62" s="3386" t="s">
        <v>3372</v>
      </c>
      <c r="L62" s="3386" t="s">
        <v>3291</v>
      </c>
      <c r="M62" s="3386" t="s">
        <v>3292</v>
      </c>
      <c r="N62" s="3386"/>
    </row>
    <row r="63" spans="1:20" s="3388" customFormat="1">
      <c r="A63" s="3390" t="s">
        <v>3365</v>
      </c>
      <c r="B63" s="3391">
        <f t="shared" ref="B63:B73" si="10">SUM(C63,H63)</f>
        <v>4491.13</v>
      </c>
      <c r="C63" s="3392">
        <f t="shared" ref="C63:C73" si="11">SUM(D63:G63)</f>
        <v>4037.69</v>
      </c>
      <c r="D63" s="3391">
        <v>4037.69</v>
      </c>
      <c r="E63" s="3391"/>
      <c r="F63" s="3391"/>
      <c r="G63" s="3391"/>
      <c r="H63" s="3392">
        <f t="shared" ref="H63:H73" si="12">SUM(I63:M63)</f>
        <v>453.44</v>
      </c>
      <c r="I63" s="3392"/>
      <c r="J63" s="3392"/>
      <c r="K63" s="3392">
        <v>13.41</v>
      </c>
      <c r="L63" s="3392">
        <v>440.03</v>
      </c>
      <c r="M63" s="3392"/>
      <c r="N63" s="3386" t="s">
        <v>3404</v>
      </c>
    </row>
    <row r="64" spans="1:20" s="3388" customFormat="1">
      <c r="A64" s="3390" t="s">
        <v>3366</v>
      </c>
      <c r="B64" s="3391">
        <f t="shared" si="10"/>
        <v>18481.93</v>
      </c>
      <c r="C64" s="3392">
        <f t="shared" si="11"/>
        <v>16651.41</v>
      </c>
      <c r="D64" s="3391">
        <v>16604.78</v>
      </c>
      <c r="E64" s="3391"/>
      <c r="F64" s="3391"/>
      <c r="G64" s="3391">
        <v>46.63</v>
      </c>
      <c r="H64" s="3392">
        <f t="shared" si="12"/>
        <v>1830.52</v>
      </c>
      <c r="I64" s="3392"/>
      <c r="J64" s="3392">
        <f>25.24+20.55+17.93</f>
        <v>63.72</v>
      </c>
      <c r="K64" s="3392">
        <v>139.4</v>
      </c>
      <c r="L64" s="3392">
        <v>1627.4</v>
      </c>
      <c r="M64" s="3392"/>
      <c r="N64" s="3386" t="s">
        <v>3405</v>
      </c>
    </row>
    <row r="65" spans="1:20" s="3388" customFormat="1">
      <c r="A65" s="3390" t="s">
        <v>3367</v>
      </c>
      <c r="B65" s="3391">
        <f t="shared" si="10"/>
        <v>2292</v>
      </c>
      <c r="C65" s="3391">
        <f t="shared" si="11"/>
        <v>1869.06</v>
      </c>
      <c r="D65" s="3391">
        <v>1869.06</v>
      </c>
      <c r="E65" s="3391"/>
      <c r="F65" s="3391"/>
      <c r="G65" s="3391"/>
      <c r="H65" s="3392">
        <f t="shared" si="12"/>
        <v>422.94</v>
      </c>
      <c r="I65" s="3392"/>
      <c r="J65" s="3392"/>
      <c r="K65" s="3392">
        <v>200.37</v>
      </c>
      <c r="L65" s="3392">
        <v>222.57</v>
      </c>
      <c r="M65" s="3392"/>
      <c r="N65" s="3386" t="s">
        <v>3406</v>
      </c>
    </row>
    <row r="66" spans="1:20" s="3388" customFormat="1">
      <c r="A66" s="3390" t="s">
        <v>3368</v>
      </c>
      <c r="B66" s="3391">
        <f t="shared" si="10"/>
        <v>11960.61</v>
      </c>
      <c r="C66" s="3392">
        <f t="shared" si="11"/>
        <v>10103.4</v>
      </c>
      <c r="D66" s="3391">
        <v>10103.4</v>
      </c>
      <c r="E66" s="3391"/>
      <c r="F66" s="3391"/>
      <c r="G66" s="3391"/>
      <c r="H66" s="3392">
        <f t="shared" si="12"/>
        <v>1857.21</v>
      </c>
      <c r="I66" s="3392"/>
      <c r="J66" s="3392"/>
      <c r="K66" s="3392">
        <v>1093.1099999999999</v>
      </c>
      <c r="L66" s="3392">
        <v>764.1</v>
      </c>
      <c r="M66" s="3392"/>
      <c r="N66" s="3386" t="s">
        <v>3294</v>
      </c>
    </row>
    <row r="67" spans="1:20" s="3388" customFormat="1">
      <c r="A67" s="3390" t="s">
        <v>3369</v>
      </c>
      <c r="B67" s="3391">
        <f t="shared" si="10"/>
        <v>7328.67</v>
      </c>
      <c r="C67" s="3392">
        <f t="shared" si="11"/>
        <v>6013.41</v>
      </c>
      <c r="D67" s="3391">
        <v>6013.41</v>
      </c>
      <c r="E67" s="3391"/>
      <c r="F67" s="3391"/>
      <c r="G67" s="3391"/>
      <c r="H67" s="3392">
        <f t="shared" si="12"/>
        <v>1315.26</v>
      </c>
      <c r="I67" s="3392"/>
      <c r="J67" s="3392"/>
      <c r="K67" s="3392">
        <v>811.13</v>
      </c>
      <c r="L67" s="3392">
        <v>504.13</v>
      </c>
      <c r="M67" s="3392"/>
      <c r="N67" s="3386" t="s">
        <v>3294</v>
      </c>
    </row>
    <row r="68" spans="1:20" s="3388" customFormat="1">
      <c r="A68" s="3390" t="s">
        <v>3370</v>
      </c>
      <c r="B68" s="3391">
        <f t="shared" si="10"/>
        <v>10983.400000000001</v>
      </c>
      <c r="C68" s="3392">
        <f t="shared" si="11"/>
        <v>8995.11</v>
      </c>
      <c r="D68" s="3391">
        <v>8995.11</v>
      </c>
      <c r="E68" s="3391"/>
      <c r="F68" s="3391"/>
      <c r="G68" s="3391"/>
      <c r="H68" s="3392">
        <f t="shared" si="12"/>
        <v>1988.29</v>
      </c>
      <c r="I68" s="3392"/>
      <c r="J68" s="3392"/>
      <c r="K68" s="3392">
        <v>1238.8699999999999</v>
      </c>
      <c r="L68" s="3392">
        <v>749.42</v>
      </c>
      <c r="M68" s="3392"/>
      <c r="N68" s="3386" t="s">
        <v>3294</v>
      </c>
    </row>
    <row r="69" spans="1:20" s="3388" customFormat="1" ht="30">
      <c r="A69" s="3390" t="s">
        <v>3371</v>
      </c>
      <c r="B69" s="3391">
        <f t="shared" si="10"/>
        <v>1150.1000000000001</v>
      </c>
      <c r="C69" s="3392">
        <f t="shared" si="11"/>
        <v>100.41</v>
      </c>
      <c r="D69" s="3391"/>
      <c r="E69" s="3391">
        <v>100.41</v>
      </c>
      <c r="F69" s="3391"/>
      <c r="G69" s="3391"/>
      <c r="H69" s="3392">
        <f t="shared" si="12"/>
        <v>1049.69</v>
      </c>
      <c r="I69" s="3392"/>
      <c r="J69" s="3392">
        <f>15.69+50.46+316.95</f>
        <v>383.1</v>
      </c>
      <c r="K69" s="3392"/>
      <c r="L69" s="3392">
        <v>666.59</v>
      </c>
      <c r="M69" s="3392"/>
      <c r="N69" s="3386">
        <v>1</v>
      </c>
    </row>
    <row r="70" spans="1:20" s="3388" customFormat="1">
      <c r="A70" s="3390" t="s">
        <v>3374</v>
      </c>
      <c r="B70" s="3391">
        <f t="shared" si="10"/>
        <v>191.65199999999999</v>
      </c>
      <c r="C70" s="3392">
        <f t="shared" si="11"/>
        <v>191.65199999999999</v>
      </c>
      <c r="D70" s="3391"/>
      <c r="E70" s="3391">
        <v>191.65199999999999</v>
      </c>
      <c r="F70" s="3391"/>
      <c r="G70" s="3391"/>
      <c r="H70" s="3392">
        <f t="shared" si="12"/>
        <v>0</v>
      </c>
      <c r="I70" s="3392"/>
      <c r="J70" s="3392"/>
      <c r="K70" s="3392"/>
      <c r="L70" s="3392"/>
      <c r="M70" s="3392"/>
      <c r="N70" s="3386">
        <v>1</v>
      </c>
    </row>
    <row r="71" spans="1:20" s="3388" customFormat="1">
      <c r="A71" s="3390" t="s">
        <v>3375</v>
      </c>
      <c r="B71" s="3391">
        <f t="shared" si="10"/>
        <v>20992.340000000004</v>
      </c>
      <c r="C71" s="3392">
        <f t="shared" si="11"/>
        <v>0</v>
      </c>
      <c r="D71" s="3391"/>
      <c r="E71" s="3391"/>
      <c r="F71" s="3391"/>
      <c r="G71" s="3391"/>
      <c r="H71" s="3392">
        <f t="shared" si="12"/>
        <v>20992.340000000004</v>
      </c>
      <c r="I71" s="3392">
        <f>20769.24-M71</f>
        <v>15515.510000000002</v>
      </c>
      <c r="J71" s="3392">
        <v>223.1</v>
      </c>
      <c r="K71" s="3392"/>
      <c r="L71" s="3392"/>
      <c r="M71" s="3392">
        <v>5253.73</v>
      </c>
      <c r="N71" s="3386">
        <v>-2</v>
      </c>
    </row>
    <row r="72" spans="1:20" s="3388" customFormat="1">
      <c r="A72" s="3390" t="s">
        <v>3296</v>
      </c>
      <c r="B72" s="3391">
        <f t="shared" si="10"/>
        <v>24.32</v>
      </c>
      <c r="C72" s="3392">
        <f t="shared" si="11"/>
        <v>24.32</v>
      </c>
      <c r="D72" s="3391"/>
      <c r="E72" s="3391"/>
      <c r="F72" s="3391"/>
      <c r="G72" s="3391">
        <v>24.32</v>
      </c>
      <c r="H72" s="3392">
        <f t="shared" si="12"/>
        <v>0</v>
      </c>
      <c r="I72" s="3392"/>
      <c r="J72" s="3392"/>
      <c r="K72" s="3392"/>
      <c r="L72" s="3392"/>
      <c r="M72" s="3392"/>
      <c r="N72" s="3386">
        <v>1</v>
      </c>
    </row>
    <row r="73" spans="1:20" s="3388" customFormat="1">
      <c r="A73" s="3390" t="s">
        <v>3297</v>
      </c>
      <c r="B73" s="3391">
        <f t="shared" si="10"/>
        <v>22.4</v>
      </c>
      <c r="C73" s="3392">
        <f t="shared" si="11"/>
        <v>22.4</v>
      </c>
      <c r="D73" s="3391"/>
      <c r="E73" s="3391"/>
      <c r="F73" s="3391"/>
      <c r="G73" s="3391">
        <v>22.4</v>
      </c>
      <c r="H73" s="3392">
        <f t="shared" si="12"/>
        <v>0</v>
      </c>
      <c r="I73" s="3392"/>
      <c r="J73" s="3392"/>
      <c r="K73" s="3392"/>
      <c r="L73" s="3392"/>
      <c r="M73" s="3392"/>
      <c r="N73" s="3386">
        <v>1</v>
      </c>
    </row>
    <row r="74" spans="1:20" s="3388" customFormat="1">
      <c r="A74" s="3390" t="s">
        <v>3295</v>
      </c>
      <c r="B74" s="3391">
        <f t="shared" ref="B74:M74" si="13">SUM(B63:B73)</f>
        <v>77918.551999999996</v>
      </c>
      <c r="C74" s="3391">
        <f t="shared" si="13"/>
        <v>48008.862000000008</v>
      </c>
      <c r="D74" s="3391">
        <f t="shared" si="13"/>
        <v>47623.45</v>
      </c>
      <c r="E74" s="3391">
        <f t="shared" si="13"/>
        <v>292.06200000000001</v>
      </c>
      <c r="F74" s="3391">
        <f t="shared" si="13"/>
        <v>0</v>
      </c>
      <c r="G74" s="3391">
        <f t="shared" si="13"/>
        <v>93.35</v>
      </c>
      <c r="H74" s="3391">
        <f t="shared" si="13"/>
        <v>29909.690000000002</v>
      </c>
      <c r="I74" s="3391">
        <f t="shared" si="13"/>
        <v>15515.510000000002</v>
      </c>
      <c r="J74" s="3391">
        <f t="shared" si="13"/>
        <v>669.92000000000007</v>
      </c>
      <c r="K74" s="3391">
        <f t="shared" si="13"/>
        <v>3496.29</v>
      </c>
      <c r="L74" s="3391">
        <f t="shared" si="13"/>
        <v>4974.2400000000007</v>
      </c>
      <c r="M74" s="3391">
        <f t="shared" si="13"/>
        <v>5253.73</v>
      </c>
      <c r="N74" s="3386"/>
    </row>
    <row r="75" spans="1:20" s="3388" customFormat="1" ht="12">
      <c r="A75" s="3393"/>
    </row>
    <row r="76" spans="1:20">
      <c r="A76" s="3607" t="s">
        <v>3302</v>
      </c>
      <c r="B76" s="3607" t="s">
        <v>3286</v>
      </c>
      <c r="C76" s="3607"/>
      <c r="D76" s="3607"/>
      <c r="E76" s="3607"/>
      <c r="F76" s="3607"/>
      <c r="G76" s="3607"/>
      <c r="H76" s="3607"/>
      <c r="I76" s="3607"/>
      <c r="J76" s="3607"/>
      <c r="K76" s="3607"/>
      <c r="L76" s="3607"/>
      <c r="M76" s="3607"/>
      <c r="N76" s="3607"/>
      <c r="O76" s="3607"/>
      <c r="P76" s="3607"/>
      <c r="Q76" s="3607"/>
      <c r="R76" s="3607"/>
      <c r="S76" s="3607"/>
      <c r="T76" s="3397" t="s">
        <v>3387</v>
      </c>
    </row>
    <row r="77" spans="1:20" ht="14.25">
      <c r="A77" s="3607"/>
      <c r="B77" s="3607" t="s">
        <v>3287</v>
      </c>
      <c r="C77" s="3608" t="s">
        <v>3288</v>
      </c>
      <c r="D77" s="3608"/>
      <c r="E77" s="3608"/>
      <c r="F77" s="3608"/>
      <c r="G77" s="3608"/>
      <c r="H77" s="3608"/>
      <c r="I77" s="3608"/>
      <c r="J77" s="3608"/>
      <c r="K77" s="3608" t="s">
        <v>3288</v>
      </c>
      <c r="L77" s="3608"/>
      <c r="M77" s="3608"/>
      <c r="N77" s="3608"/>
      <c r="O77" s="3608"/>
      <c r="P77" s="3608"/>
      <c r="Q77" s="3608"/>
      <c r="R77" s="3608"/>
      <c r="S77" s="3608"/>
    </row>
    <row r="78" spans="1:20">
      <c r="A78" s="3607"/>
      <c r="B78" s="3607"/>
      <c r="C78" s="3389" t="s">
        <v>16</v>
      </c>
      <c r="D78" s="3386" t="s">
        <v>3298</v>
      </c>
      <c r="E78" s="3386" t="s">
        <v>3376</v>
      </c>
      <c r="F78" s="3386" t="s">
        <v>3377</v>
      </c>
      <c r="G78" s="3386" t="s">
        <v>2785</v>
      </c>
      <c r="H78" s="3386" t="s">
        <v>3378</v>
      </c>
      <c r="I78" s="3386" t="s">
        <v>3373</v>
      </c>
      <c r="J78" s="3386" t="s">
        <v>3292</v>
      </c>
      <c r="K78" s="3386" t="s">
        <v>16</v>
      </c>
      <c r="L78" s="3386" t="s">
        <v>3298</v>
      </c>
      <c r="M78" s="3386" t="s">
        <v>3376</v>
      </c>
      <c r="N78" s="3386" t="s">
        <v>3378</v>
      </c>
      <c r="O78" s="3386" t="s">
        <v>3373</v>
      </c>
      <c r="P78" s="3386" t="s">
        <v>3379</v>
      </c>
      <c r="Q78" s="3386" t="s">
        <v>3293</v>
      </c>
      <c r="R78" s="3386" t="s">
        <v>3291</v>
      </c>
      <c r="S78" s="3386" t="s">
        <v>3292</v>
      </c>
    </row>
    <row r="79" spans="1:20" ht="30">
      <c r="A79" s="3431" t="s">
        <v>3383</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3386</v>
      </c>
    </row>
    <row r="80" spans="1:20">
      <c r="A80" s="3390" t="s">
        <v>3384</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3386</v>
      </c>
    </row>
    <row r="81" spans="1:20">
      <c r="A81" s="3390" t="s">
        <v>3385</v>
      </c>
      <c r="B81" s="3389">
        <f t="shared" ref="B81:B82" si="14">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3386</v>
      </c>
    </row>
    <row r="82" spans="1:20">
      <c r="A82" s="3390" t="s">
        <v>3295</v>
      </c>
      <c r="B82" s="3389">
        <f t="shared" si="14"/>
        <v>116666.25</v>
      </c>
      <c r="C82" s="3389">
        <f>SUM(C79:C81)</f>
        <v>72542.009999999995</v>
      </c>
      <c r="D82" s="3389">
        <f t="shared" ref="D82" si="15">SUM(D79:D81)</f>
        <v>17259.72</v>
      </c>
      <c r="E82" s="3389">
        <f t="shared" ref="E82" si="16">SUM(E79:E81)</f>
        <v>44376.88</v>
      </c>
      <c r="F82" s="3389">
        <f t="shared" ref="F82" si="17">SUM(F79:F81)</f>
        <v>5549.33</v>
      </c>
      <c r="G82" s="3389">
        <f t="shared" ref="G82" si="18">SUM(G79:G81)</f>
        <v>0</v>
      </c>
      <c r="H82" s="3389">
        <f t="shared" ref="H82" si="19">SUM(H79:H81)</f>
        <v>0</v>
      </c>
      <c r="I82" s="3389">
        <f t="shared" ref="I82" si="20">SUM(I79:I81)</f>
        <v>4920</v>
      </c>
      <c r="J82" s="3389">
        <f t="shared" ref="J82" si="21">SUM(J79:J81)</f>
        <v>436.07999999999993</v>
      </c>
      <c r="K82" s="3389">
        <f t="shared" ref="K82" si="22">SUM(K79:K81)</f>
        <v>44124.24</v>
      </c>
      <c r="L82" s="3389">
        <f t="shared" ref="L82" si="23">SUM(L79:L81)</f>
        <v>9323.9699999999993</v>
      </c>
      <c r="M82" s="3389">
        <f t="shared" ref="M82" si="24">SUM(M79:M81)</f>
        <v>0</v>
      </c>
      <c r="N82" s="3389">
        <f t="shared" ref="N82" si="25">SUM(N79:N81)</f>
        <v>0</v>
      </c>
      <c r="O82" s="3389">
        <f t="shared" ref="O82" si="26">SUM(O79:O81)</f>
        <v>645</v>
      </c>
      <c r="P82" s="3389">
        <f t="shared" ref="P82" si="27">SUM(P79:P81)</f>
        <v>116.54</v>
      </c>
      <c r="Q82" s="3389">
        <f t="shared" ref="Q82" si="28">SUM(Q79:Q81)</f>
        <v>13842.479999999998</v>
      </c>
      <c r="R82" s="3389">
        <f t="shared" ref="R82" si="29">SUM(R79:R81)</f>
        <v>11758.38</v>
      </c>
      <c r="S82" s="3389">
        <f t="shared" ref="S82" si="30">SUM(S79:S81)</f>
        <v>8437.8700000000008</v>
      </c>
    </row>
    <row r="83" spans="1:20">
      <c r="A83" s="3396"/>
      <c r="B83" s="3395"/>
      <c r="C83" s="3395"/>
      <c r="D83" s="3395"/>
      <c r="E83" s="3395" t="s">
        <v>3402</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07" t="s">
        <v>3303</v>
      </c>
      <c r="B85" s="3607" t="s">
        <v>3286</v>
      </c>
      <c r="C85" s="3607"/>
      <c r="D85" s="3607"/>
      <c r="E85" s="3607"/>
      <c r="F85" s="3607"/>
      <c r="G85" s="3607"/>
      <c r="H85" s="3607"/>
      <c r="I85" s="3607"/>
      <c r="J85" s="3607"/>
      <c r="K85" s="3607"/>
      <c r="L85" s="3607"/>
      <c r="M85" s="3607"/>
      <c r="N85" s="3387"/>
    </row>
    <row r="86" spans="1:20" s="3388" customFormat="1">
      <c r="A86" s="3607"/>
      <c r="B86" s="3609" t="s">
        <v>3287</v>
      </c>
      <c r="C86" s="3611" t="s">
        <v>3288</v>
      </c>
      <c r="D86" s="3611"/>
      <c r="E86" s="3611"/>
      <c r="F86" s="3611"/>
      <c r="G86" s="3611"/>
      <c r="H86" s="3607" t="s">
        <v>3289</v>
      </c>
      <c r="I86" s="3607"/>
      <c r="J86" s="3607"/>
      <c r="K86" s="3607"/>
      <c r="L86" s="3607"/>
      <c r="M86" s="3607"/>
      <c r="N86" s="3386" t="s">
        <v>3290</v>
      </c>
    </row>
    <row r="87" spans="1:20" s="3388" customFormat="1">
      <c r="A87" s="3607"/>
      <c r="B87" s="3610"/>
      <c r="C87" s="3389" t="s">
        <v>16</v>
      </c>
      <c r="D87" s="3386" t="s">
        <v>2716</v>
      </c>
      <c r="E87" s="3386" t="s">
        <v>3373</v>
      </c>
      <c r="F87" s="3389" t="s">
        <v>3291</v>
      </c>
      <c r="G87" s="3386" t="s">
        <v>3292</v>
      </c>
      <c r="H87" s="3386" t="s">
        <v>16</v>
      </c>
      <c r="I87" s="3386" t="s">
        <v>3293</v>
      </c>
      <c r="J87" s="3386" t="s">
        <v>3373</v>
      </c>
      <c r="K87" s="3386" t="s">
        <v>3372</v>
      </c>
      <c r="L87" s="3386" t="s">
        <v>3291</v>
      </c>
      <c r="M87" s="3386" t="s">
        <v>3292</v>
      </c>
      <c r="N87" s="3386"/>
    </row>
    <row r="88" spans="1:20" s="3388" customFormat="1">
      <c r="A88" s="3390" t="s">
        <v>3388</v>
      </c>
      <c r="B88" s="3391">
        <f t="shared" ref="B88:B101" si="31">SUM(C88,H88)</f>
        <v>7591.6579999999994</v>
      </c>
      <c r="C88" s="3392">
        <f t="shared" ref="C88:C101" si="32">SUM(D88:G88)</f>
        <v>6769.8579999999993</v>
      </c>
      <c r="D88" s="3391">
        <v>6716.6679999999997</v>
      </c>
      <c r="E88" s="3391"/>
      <c r="F88" s="3391"/>
      <c r="G88" s="3391">
        <f>11.63+41.56</f>
        <v>53.190000000000005</v>
      </c>
      <c r="H88" s="3392">
        <f t="shared" ref="H88:H101" si="33">SUM(I88:M88)</f>
        <v>821.80000000000007</v>
      </c>
      <c r="I88" s="3392"/>
      <c r="J88" s="3392"/>
      <c r="K88" s="3392">
        <v>164.23</v>
      </c>
      <c r="L88" s="3392">
        <v>657.57</v>
      </c>
      <c r="M88" s="3392"/>
      <c r="N88" s="3386" t="s">
        <v>3405</v>
      </c>
    </row>
    <row r="89" spans="1:20" s="3388" customFormat="1">
      <c r="A89" s="3390" t="s">
        <v>3389</v>
      </c>
      <c r="B89" s="3391">
        <f t="shared" si="31"/>
        <v>7710.35</v>
      </c>
      <c r="C89" s="3392">
        <f t="shared" si="32"/>
        <v>6716.06</v>
      </c>
      <c r="D89" s="3391">
        <v>6716.06</v>
      </c>
      <c r="E89" s="3391"/>
      <c r="F89" s="3391"/>
      <c r="G89" s="3391"/>
      <c r="H89" s="3392">
        <f t="shared" si="33"/>
        <v>994.29000000000008</v>
      </c>
      <c r="I89" s="3392"/>
      <c r="J89" s="3392">
        <f>51.6+76.2</f>
        <v>127.80000000000001</v>
      </c>
      <c r="K89" s="3392">
        <v>152.05000000000001</v>
      </c>
      <c r="L89" s="3392">
        <v>714.44</v>
      </c>
      <c r="M89" s="3392"/>
      <c r="N89" s="3386" t="s">
        <v>3405</v>
      </c>
    </row>
    <row r="90" spans="1:20" s="3388" customFormat="1">
      <c r="A90" s="3390" t="s">
        <v>3390</v>
      </c>
      <c r="B90" s="3391">
        <f t="shared" si="31"/>
        <v>3389.4700000000003</v>
      </c>
      <c r="C90" s="3391">
        <f t="shared" si="32"/>
        <v>2983.71</v>
      </c>
      <c r="D90" s="3391">
        <v>2983.71</v>
      </c>
      <c r="E90" s="3391"/>
      <c r="F90" s="3391"/>
      <c r="G90" s="3391"/>
      <c r="H90" s="3392">
        <f t="shared" si="33"/>
        <v>405.76</v>
      </c>
      <c r="I90" s="3392"/>
      <c r="J90" s="3392">
        <f>17.59+17.28+8.78</f>
        <v>43.650000000000006</v>
      </c>
      <c r="K90" s="3392">
        <v>0</v>
      </c>
      <c r="L90" s="3392">
        <v>362.11</v>
      </c>
      <c r="M90" s="3392"/>
      <c r="N90" s="3386" t="s">
        <v>3404</v>
      </c>
    </row>
    <row r="91" spans="1:20" s="3388" customFormat="1">
      <c r="A91" s="3390" t="s">
        <v>3391</v>
      </c>
      <c r="B91" s="3391">
        <f t="shared" si="31"/>
        <v>3328.93</v>
      </c>
      <c r="C91" s="3392">
        <f t="shared" si="32"/>
        <v>3194.83</v>
      </c>
      <c r="D91" s="3391">
        <v>3194.83</v>
      </c>
      <c r="E91" s="3391"/>
      <c r="F91" s="3391"/>
      <c r="G91" s="3391"/>
      <c r="H91" s="3392">
        <f t="shared" si="33"/>
        <v>134.1</v>
      </c>
      <c r="I91" s="3392"/>
      <c r="J91" s="3392"/>
      <c r="K91" s="3392">
        <v>0</v>
      </c>
      <c r="L91" s="3392">
        <v>134.1</v>
      </c>
      <c r="M91" s="3392"/>
      <c r="N91" s="3386" t="s">
        <v>3405</v>
      </c>
    </row>
    <row r="92" spans="1:20" s="3388" customFormat="1">
      <c r="A92" s="3390" t="s">
        <v>3392</v>
      </c>
      <c r="B92" s="3391">
        <f t="shared" si="31"/>
        <v>8333.06</v>
      </c>
      <c r="C92" s="3392">
        <f t="shared" si="32"/>
        <v>7414.09</v>
      </c>
      <c r="D92" s="3391">
        <v>7414.09</v>
      </c>
      <c r="E92" s="3391"/>
      <c r="F92" s="3391"/>
      <c r="G92" s="3391"/>
      <c r="H92" s="3392">
        <f t="shared" si="33"/>
        <v>918.97</v>
      </c>
      <c r="I92" s="3392"/>
      <c r="J92" s="3392"/>
      <c r="K92" s="3392">
        <v>309.95</v>
      </c>
      <c r="L92" s="3392">
        <v>609.02</v>
      </c>
      <c r="M92" s="3392"/>
      <c r="N92" s="3386" t="s">
        <v>3405</v>
      </c>
    </row>
    <row r="93" spans="1:20" s="3388" customFormat="1">
      <c r="A93" s="3390" t="s">
        <v>3393</v>
      </c>
      <c r="B93" s="3391">
        <f t="shared" si="31"/>
        <v>8362.98</v>
      </c>
      <c r="C93" s="3392">
        <f t="shared" si="32"/>
        <v>7414.09</v>
      </c>
      <c r="D93" s="3391">
        <v>7414.09</v>
      </c>
      <c r="E93" s="3391"/>
      <c r="F93" s="3391"/>
      <c r="G93" s="3391"/>
      <c r="H93" s="3392">
        <f t="shared" si="33"/>
        <v>948.88999999999987</v>
      </c>
      <c r="I93" s="3392"/>
      <c r="J93" s="3392"/>
      <c r="K93" s="3392">
        <v>310.33999999999997</v>
      </c>
      <c r="L93" s="3392">
        <v>638.54999999999995</v>
      </c>
      <c r="M93" s="3392"/>
      <c r="N93" s="3386" t="s">
        <v>3405</v>
      </c>
    </row>
    <row r="94" spans="1:20" s="3388" customFormat="1">
      <c r="A94" s="3390" t="s">
        <v>3394</v>
      </c>
      <c r="B94" s="3391">
        <f t="shared" ref="B94:B97" si="34">SUM(C94,H94)</f>
        <v>7846.21</v>
      </c>
      <c r="C94" s="3392">
        <f t="shared" ref="C94:C97" si="35">SUM(D94:G94)</f>
        <v>6924.95</v>
      </c>
      <c r="D94" s="3391">
        <v>6924.95</v>
      </c>
      <c r="E94" s="3391"/>
      <c r="F94" s="3391"/>
      <c r="G94" s="3391"/>
      <c r="H94" s="3392">
        <f t="shared" si="33"/>
        <v>921.26</v>
      </c>
      <c r="I94" s="3392"/>
      <c r="J94" s="3392"/>
      <c r="K94" s="3392">
        <v>309.79000000000002</v>
      </c>
      <c r="L94" s="3392">
        <v>611.47</v>
      </c>
      <c r="M94" s="3392"/>
      <c r="N94" s="3386" t="s">
        <v>3404</v>
      </c>
    </row>
    <row r="95" spans="1:20" s="3388" customFormat="1">
      <c r="A95" s="3390" t="s">
        <v>3395</v>
      </c>
      <c r="B95" s="3391">
        <f t="shared" si="34"/>
        <v>6624.01</v>
      </c>
      <c r="C95" s="3392">
        <f t="shared" si="35"/>
        <v>5878.88</v>
      </c>
      <c r="D95" s="3391">
        <v>5878.88</v>
      </c>
      <c r="E95" s="3391"/>
      <c r="F95" s="3391"/>
      <c r="G95" s="3391"/>
      <c r="H95" s="3392">
        <f t="shared" si="33"/>
        <v>745.13</v>
      </c>
      <c r="I95" s="3392"/>
      <c r="J95" s="3392"/>
      <c r="K95" s="3392">
        <v>148.66999999999999</v>
      </c>
      <c r="L95" s="3392">
        <v>596.46</v>
      </c>
      <c r="M95" s="3392"/>
      <c r="N95" s="3386" t="s">
        <v>3407</v>
      </c>
    </row>
    <row r="96" spans="1:20" s="3388" customFormat="1">
      <c r="A96" s="3390" t="s">
        <v>3396</v>
      </c>
      <c r="B96" s="3391">
        <f t="shared" si="34"/>
        <v>3453.67</v>
      </c>
      <c r="C96" s="3392">
        <f t="shared" si="35"/>
        <v>2990.19</v>
      </c>
      <c r="D96" s="3391">
        <v>2990.19</v>
      </c>
      <c r="E96" s="3391"/>
      <c r="F96" s="3391"/>
      <c r="G96" s="3391"/>
      <c r="H96" s="3392">
        <f t="shared" si="33"/>
        <v>463.48</v>
      </c>
      <c r="I96" s="3392"/>
      <c r="J96" s="3392"/>
      <c r="K96" s="3392">
        <v>149.03</v>
      </c>
      <c r="L96" s="3392">
        <v>314.45</v>
      </c>
      <c r="M96" s="3392"/>
      <c r="N96" s="3386" t="s">
        <v>3407</v>
      </c>
    </row>
    <row r="97" spans="1:14" s="3388" customFormat="1" ht="30">
      <c r="A97" s="3390" t="s">
        <v>3397</v>
      </c>
      <c r="B97" s="3391">
        <f t="shared" si="34"/>
        <v>784.06</v>
      </c>
      <c r="C97" s="3392">
        <f t="shared" si="35"/>
        <v>100.26</v>
      </c>
      <c r="D97" s="3391"/>
      <c r="E97" s="3391">
        <v>100.26</v>
      </c>
      <c r="F97" s="3391"/>
      <c r="G97" s="3391"/>
      <c r="H97" s="3392">
        <f t="shared" si="33"/>
        <v>683.8</v>
      </c>
      <c r="I97" s="3392"/>
      <c r="J97" s="3392">
        <f>21.32+50.12+128.4</f>
        <v>199.84</v>
      </c>
      <c r="K97" s="3392"/>
      <c r="L97" s="3392">
        <v>461.18</v>
      </c>
      <c r="M97" s="3392">
        <v>22.78</v>
      </c>
      <c r="N97" s="3386">
        <v>1</v>
      </c>
    </row>
    <row r="98" spans="1:14" s="3388" customFormat="1">
      <c r="A98" s="3390" t="s">
        <v>3398</v>
      </c>
      <c r="B98" s="3391">
        <f t="shared" si="31"/>
        <v>193.79</v>
      </c>
      <c r="C98" s="3392">
        <f t="shared" si="32"/>
        <v>193.79</v>
      </c>
      <c r="D98" s="3391"/>
      <c r="E98" s="3391">
        <v>193.79</v>
      </c>
      <c r="F98" s="3391"/>
      <c r="G98" s="3391"/>
      <c r="H98" s="3392">
        <f t="shared" si="33"/>
        <v>0</v>
      </c>
      <c r="I98" s="3392"/>
      <c r="J98" s="3392"/>
      <c r="K98" s="3392"/>
      <c r="L98" s="3392"/>
      <c r="M98" s="3392"/>
      <c r="N98" s="3386">
        <v>1</v>
      </c>
    </row>
    <row r="99" spans="1:14" s="3388" customFormat="1">
      <c r="A99" s="3390" t="s">
        <v>3399</v>
      </c>
      <c r="B99" s="3391">
        <f t="shared" si="31"/>
        <v>22803.140000000003</v>
      </c>
      <c r="C99" s="3392">
        <f t="shared" si="32"/>
        <v>0</v>
      </c>
      <c r="D99" s="3391"/>
      <c r="E99" s="3391"/>
      <c r="F99" s="3391"/>
      <c r="G99" s="3391"/>
      <c r="H99" s="3392">
        <f t="shared" si="33"/>
        <v>22803.140000000003</v>
      </c>
      <c r="I99" s="3392">
        <f>22541.06-M99</f>
        <v>17008.370000000003</v>
      </c>
      <c r="J99" s="3392">
        <v>262.08</v>
      </c>
      <c r="K99" s="3392"/>
      <c r="L99" s="3392"/>
      <c r="M99" s="3392">
        <v>5532.69</v>
      </c>
      <c r="N99" s="3386">
        <v>-2</v>
      </c>
    </row>
    <row r="100" spans="1:14" s="3388" customFormat="1">
      <c r="A100" s="3390" t="s">
        <v>3296</v>
      </c>
      <c r="B100" s="3391">
        <f t="shared" si="31"/>
        <v>28.04</v>
      </c>
      <c r="C100" s="3392">
        <f t="shared" si="32"/>
        <v>28.04</v>
      </c>
      <c r="D100" s="3391"/>
      <c r="E100" s="3391"/>
      <c r="F100" s="3391"/>
      <c r="G100" s="3391">
        <v>28.04</v>
      </c>
      <c r="H100" s="3392">
        <f t="shared" si="33"/>
        <v>0</v>
      </c>
      <c r="I100" s="3392"/>
      <c r="J100" s="3392"/>
      <c r="K100" s="3392"/>
      <c r="L100" s="3392"/>
      <c r="M100" s="3392"/>
      <c r="N100" s="3386">
        <v>1</v>
      </c>
    </row>
    <row r="101" spans="1:14" s="3388" customFormat="1">
      <c r="A101" s="3390" t="s">
        <v>3297</v>
      </c>
      <c r="B101" s="3391">
        <f t="shared" si="31"/>
        <v>26.98</v>
      </c>
      <c r="C101" s="3392">
        <f t="shared" si="32"/>
        <v>26.98</v>
      </c>
      <c r="D101" s="3391"/>
      <c r="E101" s="3391"/>
      <c r="F101" s="3391"/>
      <c r="G101" s="3391">
        <v>26.98</v>
      </c>
      <c r="H101" s="3392">
        <f t="shared" si="33"/>
        <v>0</v>
      </c>
      <c r="I101" s="3392"/>
      <c r="J101" s="3392"/>
      <c r="K101" s="3392"/>
      <c r="L101" s="3392"/>
      <c r="M101" s="3392"/>
      <c r="N101" s="3386">
        <v>1</v>
      </c>
    </row>
    <row r="102" spans="1:14" s="3388" customFormat="1">
      <c r="A102" s="3390" t="s">
        <v>3295</v>
      </c>
      <c r="B102" s="3391">
        <f t="shared" ref="B102:M102" si="36">SUM(B88:B101)</f>
        <v>80476.347999999998</v>
      </c>
      <c r="C102" s="3391">
        <f t="shared" si="36"/>
        <v>50635.728000000003</v>
      </c>
      <c r="D102" s="3391">
        <f t="shared" si="36"/>
        <v>50233.467999999993</v>
      </c>
      <c r="E102" s="3391">
        <f t="shared" si="36"/>
        <v>294.05</v>
      </c>
      <c r="F102" s="3391">
        <f t="shared" si="36"/>
        <v>0</v>
      </c>
      <c r="G102" s="3391">
        <f t="shared" si="36"/>
        <v>108.21000000000001</v>
      </c>
      <c r="H102" s="3391">
        <f t="shared" si="36"/>
        <v>29840.620000000003</v>
      </c>
      <c r="I102" s="3391">
        <f t="shared" si="36"/>
        <v>17008.370000000003</v>
      </c>
      <c r="J102" s="3391">
        <f t="shared" si="36"/>
        <v>633.37</v>
      </c>
      <c r="K102" s="3391">
        <f t="shared" si="36"/>
        <v>1544.06</v>
      </c>
      <c r="L102" s="3391">
        <f t="shared" si="36"/>
        <v>5099.3500000000004</v>
      </c>
      <c r="M102" s="3391">
        <f t="shared" si="36"/>
        <v>5555.4699999999993</v>
      </c>
      <c r="N102" s="3386"/>
    </row>
    <row r="103" spans="1:14" s="3388" customFormat="1" ht="12">
      <c r="A103" s="3393"/>
    </row>
    <row r="104" spans="1:14">
      <c r="A104" s="3396"/>
      <c r="B104" s="3395"/>
      <c r="C104" s="3395"/>
      <c r="D104" s="3395"/>
      <c r="E104" s="3395"/>
      <c r="F104" s="3395"/>
      <c r="G104" s="3395"/>
      <c r="H104" s="3395"/>
      <c r="I104" s="3395"/>
      <c r="J104" s="3395"/>
      <c r="K104" s="3395"/>
      <c r="L104" s="3395"/>
    </row>
    <row r="105" spans="1:14">
      <c r="A105" s="3396"/>
      <c r="B105" s="3395" t="s">
        <v>3337</v>
      </c>
      <c r="C105" s="3395"/>
      <c r="D105" s="3395"/>
      <c r="E105" s="3395"/>
      <c r="F105" s="3395"/>
      <c r="G105" s="3395"/>
      <c r="H105" s="3395"/>
      <c r="I105" s="3395"/>
      <c r="J105" s="3395"/>
      <c r="K105" s="3395"/>
      <c r="L105" s="3395" t="s">
        <v>3338</v>
      </c>
    </row>
    <row r="106" spans="1:14">
      <c r="A106" s="3396"/>
      <c r="B106" s="3398"/>
      <c r="C106" s="3398" t="s">
        <v>3339</v>
      </c>
      <c r="D106" s="3398" t="s">
        <v>3340</v>
      </c>
      <c r="E106" s="3398" t="s">
        <v>3341</v>
      </c>
      <c r="F106" s="3398"/>
      <c r="G106" s="3421" t="s">
        <v>3342</v>
      </c>
      <c r="H106" s="3395"/>
      <c r="I106" s="3395"/>
      <c r="J106" s="3395"/>
      <c r="K106" s="3395"/>
      <c r="L106" s="3395" t="s">
        <v>3343</v>
      </c>
      <c r="M106" s="3397">
        <v>2.2999999999999998</v>
      </c>
    </row>
    <row r="107" spans="1:14">
      <c r="A107" s="3396"/>
      <c r="B107" s="3399" t="s">
        <v>3344</v>
      </c>
      <c r="C107" s="3399" t="e">
        <f>C108+C109</f>
        <v>#REF!</v>
      </c>
      <c r="D107" s="3399" t="e">
        <f>E107/C107</f>
        <v>#REF!</v>
      </c>
      <c r="E107" s="3399" t="e">
        <f>E108+E109</f>
        <v>#REF!</v>
      </c>
      <c r="F107" s="3398"/>
      <c r="G107" s="3400">
        <v>1</v>
      </c>
      <c r="H107" s="3395"/>
      <c r="I107" s="3395"/>
      <c r="J107" s="3395"/>
      <c r="K107" s="3395"/>
      <c r="L107" s="3395" t="s">
        <v>3345</v>
      </c>
      <c r="M107" s="3397">
        <v>0</v>
      </c>
    </row>
    <row r="108" spans="1:14">
      <c r="A108" s="3396"/>
      <c r="B108" s="3398" t="s">
        <v>3346</v>
      </c>
      <c r="C108" s="3401" t="e">
        <f>#REF!</f>
        <v>#REF!</v>
      </c>
      <c r="D108" s="3398">
        <v>2000</v>
      </c>
      <c r="E108" s="3398" t="e">
        <f>D108*C108</f>
        <v>#REF!</v>
      </c>
      <c r="F108" s="3398"/>
      <c r="G108" s="3398"/>
      <c r="H108" s="3395"/>
      <c r="I108" s="3395"/>
      <c r="J108" s="3395"/>
      <c r="K108" s="3395"/>
      <c r="L108" s="3395"/>
      <c r="M108" s="3422" t="e">
        <f>(M106*#REF!+M107*#REF!)/#REF!</f>
        <v>#REF!</v>
      </c>
    </row>
    <row r="109" spans="1:14">
      <c r="A109" s="3396"/>
      <c r="B109" s="3398" t="s">
        <v>3347</v>
      </c>
      <c r="C109" s="3402" t="e">
        <f>#REF!</f>
        <v>#REF!</v>
      </c>
      <c r="D109" s="3398">
        <v>4500</v>
      </c>
      <c r="E109" s="3398" t="e">
        <f>D109*C109</f>
        <v>#REF!</v>
      </c>
      <c r="F109" s="3398"/>
      <c r="G109" s="3398"/>
      <c r="H109" s="3395" t="s">
        <v>3343</v>
      </c>
      <c r="I109" s="3395"/>
      <c r="J109" s="3395"/>
      <c r="K109" s="3395"/>
      <c r="L109" s="3395"/>
    </row>
    <row r="110" spans="1:14">
      <c r="A110" s="3396"/>
      <c r="B110" s="3399" t="s">
        <v>3348</v>
      </c>
      <c r="C110" s="3399" t="e">
        <f>C107</f>
        <v>#REF!</v>
      </c>
      <c r="D110" s="3403">
        <v>1500</v>
      </c>
      <c r="E110" s="3399" t="e">
        <f>D110*C110</f>
        <v>#REF!</v>
      </c>
      <c r="F110" s="3398"/>
      <c r="G110" s="3400">
        <v>1</v>
      </c>
      <c r="H110" s="3395" t="s">
        <v>3345</v>
      </c>
      <c r="I110" s="3395"/>
      <c r="J110" s="3395"/>
      <c r="K110" s="3395"/>
      <c r="L110" s="3395"/>
    </row>
    <row r="111" spans="1:14">
      <c r="A111" s="3396"/>
      <c r="B111" s="3399" t="s">
        <v>3349</v>
      </c>
      <c r="C111" s="3399" t="e">
        <f>C107</f>
        <v>#REF!</v>
      </c>
      <c r="D111" s="3399">
        <v>1500</v>
      </c>
      <c r="E111" s="3399" t="e">
        <f>D111*C111</f>
        <v>#REF!</v>
      </c>
      <c r="F111" s="3398"/>
      <c r="G111" s="3400">
        <v>1</v>
      </c>
      <c r="H111" s="3395"/>
      <c r="I111" s="3395"/>
      <c r="J111" s="3395"/>
      <c r="K111" s="3395"/>
      <c r="L111" s="3395"/>
    </row>
    <row r="112" spans="1:14">
      <c r="A112" s="3396"/>
      <c r="B112" s="3399" t="s">
        <v>3350</v>
      </c>
      <c r="C112" s="3399">
        <v>0</v>
      </c>
      <c r="D112" s="3399">
        <f>D109</f>
        <v>4500</v>
      </c>
      <c r="E112" s="3399">
        <f t="shared" ref="E112" si="37">D112*C112</f>
        <v>0</v>
      </c>
      <c r="F112" s="3398"/>
      <c r="G112" s="3398"/>
      <c r="H112" s="3395"/>
      <c r="I112" s="3395"/>
      <c r="J112" s="3395"/>
      <c r="K112" s="3395"/>
      <c r="L112" s="3395"/>
    </row>
    <row r="113" spans="1:12">
      <c r="A113" s="3396"/>
      <c r="B113" s="3398" t="s">
        <v>3351</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3352</v>
      </c>
      <c r="C117" s="3395"/>
      <c r="D117" s="3395"/>
      <c r="E117" s="3395"/>
      <c r="F117" s="3395"/>
      <c r="G117" s="3395"/>
      <c r="H117" s="3395"/>
      <c r="I117" s="3395"/>
      <c r="J117" s="3395"/>
      <c r="K117" s="3395"/>
      <c r="L117" s="3395"/>
    </row>
    <row r="118" spans="1:12">
      <c r="A118" s="3396"/>
      <c r="B118" s="3398"/>
      <c r="C118" s="3398" t="s">
        <v>3353</v>
      </c>
      <c r="D118" s="3398"/>
      <c r="E118" s="3398" t="s">
        <v>3354</v>
      </c>
      <c r="F118" s="3398" t="s">
        <v>3355</v>
      </c>
      <c r="G118" s="3398" t="s">
        <v>3356</v>
      </c>
      <c r="H118" s="3421" t="s">
        <v>3357</v>
      </c>
      <c r="I118" s="3395"/>
      <c r="J118" s="3395"/>
      <c r="K118" s="3395"/>
      <c r="L118" s="3395"/>
    </row>
    <row r="119" spans="1:12">
      <c r="A119" s="3396"/>
      <c r="B119" s="3399" t="s">
        <v>3358</v>
      </c>
      <c r="C119" s="3399">
        <v>2022</v>
      </c>
      <c r="D119" s="3399">
        <v>2024</v>
      </c>
      <c r="E119" s="3399">
        <v>50</v>
      </c>
      <c r="F119" s="3398">
        <v>60</v>
      </c>
      <c r="G119" s="3398">
        <v>0</v>
      </c>
      <c r="H119" s="3404">
        <f>ROUND((1-G119)-(D119-C119)/F119,2)</f>
        <v>0.97</v>
      </c>
      <c r="I119" s="3395"/>
      <c r="J119" s="3395"/>
      <c r="K119" s="3395"/>
      <c r="L119" s="3395"/>
    </row>
    <row r="120" spans="1:12">
      <c r="A120" s="3396"/>
      <c r="B120" s="3398" t="s">
        <v>3359</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10:G11"/>
    <mergeCell ref="A60:A62"/>
    <mergeCell ref="B60:M60"/>
    <mergeCell ref="C61:G61"/>
    <mergeCell ref="H61:M61"/>
    <mergeCell ref="A52:A54"/>
    <mergeCell ref="E31:E37"/>
    <mergeCell ref="B61:B62"/>
    <mergeCell ref="B53:B54"/>
    <mergeCell ref="C53:J53"/>
    <mergeCell ref="K53:S53"/>
    <mergeCell ref="B52:S52"/>
    <mergeCell ref="B76:S76"/>
    <mergeCell ref="B77:B78"/>
    <mergeCell ref="C77:J77"/>
    <mergeCell ref="K77:S77"/>
    <mergeCell ref="A85:A87"/>
    <mergeCell ref="B85:M85"/>
    <mergeCell ref="B86:B87"/>
    <mergeCell ref="C86:G86"/>
    <mergeCell ref="H86:M86"/>
    <mergeCell ref="A76:A78"/>
  </mergeCells>
  <phoneticPr fontId="22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信息及取费!M8</f>
        <v>21822.21</v>
      </c>
      <c r="B3" s="3508">
        <f>IF(C3="否",G5-AT5,G5)</f>
        <v>72618.101999999999</v>
      </c>
      <c r="C3" s="19" t="s">
        <v>3748</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77918.551999999996</v>
      </c>
      <c r="H5" s="22">
        <f t="shared" ref="H5:AT5" si="0">SUM(H13:H641)</f>
        <v>66635.25</v>
      </c>
      <c r="I5" s="22">
        <f t="shared" si="0"/>
        <v>47623.45</v>
      </c>
      <c r="J5" s="22">
        <f t="shared" si="0"/>
        <v>0</v>
      </c>
      <c r="K5" s="22">
        <f t="shared" si="0"/>
        <v>3496.29</v>
      </c>
      <c r="L5" s="22">
        <f t="shared" si="0"/>
        <v>0</v>
      </c>
      <c r="M5" s="22">
        <f t="shared" si="0"/>
        <v>15515.510000000002</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5982.8520000000008</v>
      </c>
      <c r="AD5" s="22">
        <f t="shared" si="0"/>
        <v>191.65200000000002</v>
      </c>
      <c r="AE5" s="22">
        <f t="shared" si="0"/>
        <v>0</v>
      </c>
      <c r="AF5" s="22">
        <f t="shared" si="0"/>
        <v>619.46</v>
      </c>
      <c r="AG5" s="22">
        <f t="shared" si="0"/>
        <v>0</v>
      </c>
      <c r="AH5" s="22">
        <f t="shared" si="0"/>
        <v>100.41</v>
      </c>
      <c r="AI5" s="22">
        <f t="shared" si="0"/>
        <v>0</v>
      </c>
      <c r="AJ5" s="22">
        <f t="shared" si="0"/>
        <v>50.46</v>
      </c>
      <c r="AK5" s="22">
        <f t="shared" si="0"/>
        <v>0</v>
      </c>
      <c r="AL5" s="22">
        <f t="shared" si="0"/>
        <v>46.63</v>
      </c>
      <c r="AM5" s="22">
        <f t="shared" si="0"/>
        <v>0</v>
      </c>
      <c r="AN5" s="22">
        <f t="shared" si="0"/>
        <v>4974.2400000000007</v>
      </c>
      <c r="AO5" s="22">
        <f t="shared" si="0"/>
        <v>0</v>
      </c>
      <c r="AP5" s="22">
        <f t="shared" si="0"/>
        <v>0</v>
      </c>
      <c r="AQ5" s="22">
        <f t="shared" si="0"/>
        <v>0</v>
      </c>
      <c r="AR5" s="22">
        <f t="shared" si="0"/>
        <v>0</v>
      </c>
      <c r="AS5" s="22">
        <f t="shared" si="0"/>
        <v>0</v>
      </c>
      <c r="AT5" s="22">
        <f t="shared" si="0"/>
        <v>5300.45</v>
      </c>
      <c r="AU5" s="900"/>
      <c r="AV5" s="21" t="s">
        <v>134</v>
      </c>
      <c r="AW5" s="901"/>
      <c r="AX5" s="901"/>
      <c r="AY5" s="23" t="s">
        <v>2</v>
      </c>
      <c r="AZ5" s="24">
        <f t="shared" ref="AZ5:BT5" si="1">SUM(AZ13:AZ641)</f>
        <v>72618.101999999999</v>
      </c>
      <c r="BA5" s="24">
        <f t="shared" si="1"/>
        <v>66635.25</v>
      </c>
      <c r="BB5" s="24">
        <f t="shared" si="1"/>
        <v>47623.45</v>
      </c>
      <c r="BC5" s="24">
        <f t="shared" si="1"/>
        <v>3496.29</v>
      </c>
      <c r="BD5" s="24">
        <f t="shared" si="1"/>
        <v>15515.510000000002</v>
      </c>
      <c r="BE5" s="24">
        <f t="shared" si="1"/>
        <v>0</v>
      </c>
      <c r="BF5" s="24">
        <f t="shared" si="1"/>
        <v>0</v>
      </c>
      <c r="BG5" s="24">
        <f t="shared" si="1"/>
        <v>0</v>
      </c>
      <c r="BH5" s="24">
        <f t="shared" si="1"/>
        <v>0</v>
      </c>
      <c r="BI5" s="24">
        <f t="shared" si="1"/>
        <v>0</v>
      </c>
      <c r="BJ5" s="24">
        <f t="shared" si="1"/>
        <v>0</v>
      </c>
      <c r="BK5" s="24">
        <f t="shared" si="1"/>
        <v>0</v>
      </c>
      <c r="BL5" s="24">
        <f t="shared" si="1"/>
        <v>5982.8520000000008</v>
      </c>
      <c r="BM5" s="24">
        <f t="shared" si="1"/>
        <v>191.65200000000002</v>
      </c>
      <c r="BN5" s="24">
        <f t="shared" si="1"/>
        <v>619.46</v>
      </c>
      <c r="BO5" s="24">
        <f t="shared" si="1"/>
        <v>100.41</v>
      </c>
      <c r="BP5" s="24">
        <f t="shared" si="1"/>
        <v>50.46</v>
      </c>
      <c r="BQ5" s="24">
        <f t="shared" si="1"/>
        <v>46.63</v>
      </c>
      <c r="BR5" s="24">
        <f t="shared" si="1"/>
        <v>4974.2400000000007</v>
      </c>
      <c r="BS5" s="24">
        <f t="shared" si="1"/>
        <v>0</v>
      </c>
      <c r="BT5" s="25">
        <f t="shared" si="1"/>
        <v>0</v>
      </c>
    </row>
    <row r="6" spans="1:72" s="32" customFormat="1" ht="12.75">
      <c r="A6" s="21" t="s">
        <v>135</v>
      </c>
      <c r="B6" s="26"/>
      <c r="C6" s="26"/>
      <c r="D6" s="27"/>
      <c r="E6" s="22">
        <f>H6+AC6+AT6</f>
        <v>21822.2</v>
      </c>
      <c r="F6" s="22" t="s">
        <v>0</v>
      </c>
      <c r="G6" s="22" t="s">
        <v>1</v>
      </c>
      <c r="H6" s="28">
        <f>SUMIF(I$12:AB$12,"总值",I6:AB6)</f>
        <v>20024.330000000002</v>
      </c>
      <c r="I6" s="22">
        <f t="shared" ref="I6:AB6" si="2">ROUND($A$3*I5/$B$3,2)</f>
        <v>14311.16</v>
      </c>
      <c r="J6" s="22">
        <f t="shared" si="2"/>
        <v>0</v>
      </c>
      <c r="K6" s="22">
        <f t="shared" si="2"/>
        <v>1050.6600000000001</v>
      </c>
      <c r="L6" s="22">
        <f t="shared" si="2"/>
        <v>0</v>
      </c>
      <c r="M6" s="22">
        <f t="shared" si="2"/>
        <v>4662.51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1797.87</v>
      </c>
      <c r="AD6" s="22">
        <f t="shared" ref="AD6:AS6" si="3">ROUND($A$3*AD5/$B$3,2)</f>
        <v>57.59</v>
      </c>
      <c r="AE6" s="22">
        <f t="shared" si="3"/>
        <v>0</v>
      </c>
      <c r="AF6" s="22">
        <f t="shared" si="3"/>
        <v>186.15</v>
      </c>
      <c r="AG6" s="22">
        <f t="shared" si="3"/>
        <v>0</v>
      </c>
      <c r="AH6" s="22">
        <f t="shared" si="3"/>
        <v>30.17</v>
      </c>
      <c r="AI6" s="22">
        <f t="shared" si="3"/>
        <v>0</v>
      </c>
      <c r="AJ6" s="22">
        <f t="shared" si="3"/>
        <v>15.16</v>
      </c>
      <c r="AK6" s="22">
        <f t="shared" si="3"/>
        <v>0</v>
      </c>
      <c r="AL6" s="22">
        <f t="shared" si="3"/>
        <v>14.01</v>
      </c>
      <c r="AM6" s="22">
        <f t="shared" si="3"/>
        <v>0</v>
      </c>
      <c r="AN6" s="22">
        <f t="shared" si="3"/>
        <v>1494.79</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21822.21</v>
      </c>
      <c r="AZ6" s="22" t="s">
        <v>2</v>
      </c>
      <c r="BA6" s="22">
        <f>ROUND($AY$6*BA5/$AZ$5,2)</f>
        <v>20024.32</v>
      </c>
      <c r="BB6" s="22">
        <f>ROUND($AY$6*BB5/$AZ$5,2)</f>
        <v>14311.16</v>
      </c>
      <c r="BC6" s="22">
        <f t="shared" ref="BC6:BH6" si="4">ROUND($AY$6*BC5/$AZ$5,2)</f>
        <v>1050.6600000000001</v>
      </c>
      <c r="BD6" s="22">
        <f t="shared" si="4"/>
        <v>4662.51</v>
      </c>
      <c r="BE6" s="22">
        <f t="shared" si="4"/>
        <v>0</v>
      </c>
      <c r="BF6" s="22">
        <f t="shared" si="4"/>
        <v>0</v>
      </c>
      <c r="BG6" s="22">
        <f t="shared" si="4"/>
        <v>0</v>
      </c>
      <c r="BH6" s="22">
        <f t="shared" si="4"/>
        <v>0</v>
      </c>
      <c r="BI6" s="22">
        <f t="shared" ref="BI6:BT6" si="5">ROUND($AY$6*BI5/$AZ$5,2)</f>
        <v>0</v>
      </c>
      <c r="BJ6" s="22">
        <f t="shared" si="5"/>
        <v>0</v>
      </c>
      <c r="BK6" s="22">
        <f t="shared" si="5"/>
        <v>0</v>
      </c>
      <c r="BL6" s="22">
        <f t="shared" si="5"/>
        <v>1797.89</v>
      </c>
      <c r="BM6" s="22">
        <f t="shared" si="5"/>
        <v>57.59</v>
      </c>
      <c r="BN6" s="22">
        <f t="shared" si="5"/>
        <v>186.15</v>
      </c>
      <c r="BO6" s="22">
        <f t="shared" si="5"/>
        <v>30.17</v>
      </c>
      <c r="BP6" s="22">
        <f t="shared" si="5"/>
        <v>15.16</v>
      </c>
      <c r="BQ6" s="22">
        <f t="shared" si="5"/>
        <v>14.01</v>
      </c>
      <c r="BR6" s="22">
        <f t="shared" si="5"/>
        <v>1494.79</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2" t="s">
        <v>3706</v>
      </c>
      <c r="J9" s="46"/>
      <c r="K9" s="2302" t="s">
        <v>3707</v>
      </c>
      <c r="L9" s="46"/>
      <c r="M9" s="2302" t="s">
        <v>3707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2" t="s">
        <v>851</v>
      </c>
      <c r="J10" s="46"/>
      <c r="K10" s="2304" t="s">
        <v>2732</v>
      </c>
      <c r="L10" s="46"/>
      <c r="M10" s="2304" t="s">
        <v>2731</v>
      </c>
      <c r="N10" s="46"/>
      <c r="O10" s="61"/>
      <c r="P10" s="46"/>
      <c r="Q10" s="61"/>
      <c r="R10" s="46"/>
      <c r="S10" s="61"/>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3"/>
      <c r="J11" s="66"/>
      <c r="K11" s="2303"/>
      <c r="L11" s="66"/>
      <c r="M11" s="65"/>
      <c r="N11" s="66"/>
      <c r="O11" s="65"/>
      <c r="P11" s="66"/>
      <c r="Q11" s="65"/>
      <c r="R11" s="66"/>
      <c r="S11" s="65"/>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住宅</v>
      </c>
      <c r="BC11" s="45" t="str">
        <f>K10</f>
        <v>仓储</v>
      </c>
      <c r="BD11" s="45" t="str">
        <f>M10</f>
        <v>车库</v>
      </c>
      <c r="BE11" s="45">
        <f>O10</f>
        <v>0</v>
      </c>
      <c r="BF11" s="45">
        <f>Q10</f>
        <v>0</v>
      </c>
      <c r="BG11" s="45">
        <f>S10</f>
        <v>0</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8"/>
      <c r="B13" s="2298"/>
      <c r="C13" s="2298"/>
      <c r="D13" s="2299" t="s">
        <v>3708</v>
      </c>
      <c r="E13" s="22">
        <f t="shared" ref="E13:E20" si="6">IF($C$3="是",ROUND($A$3*G13/$B$3,2),ROUND($A$3*(G13-AT13)/$B$3,2))</f>
        <v>21822.21</v>
      </c>
      <c r="F13" s="75"/>
      <c r="G13" s="3507">
        <f t="shared" ref="G13:G20" si="7">H13+AC13+AT13</f>
        <v>77918.551999999996</v>
      </c>
      <c r="H13" s="28">
        <f t="shared" ref="H13:H20" si="8">SUMIF(I$12:AB$12,"总值",I13:AB13)</f>
        <v>66635.25</v>
      </c>
      <c r="I13" s="3509">
        <f>信息及取费!M11</f>
        <v>47623.45</v>
      </c>
      <c r="J13" s="3509"/>
      <c r="K13" s="3509">
        <f>信息及取费!M30</f>
        <v>3496.29</v>
      </c>
      <c r="L13" s="3509"/>
      <c r="M13" s="3509">
        <f>信息及取费!M27</f>
        <v>15515.510000000002</v>
      </c>
      <c r="N13" s="77"/>
      <c r="O13" s="77"/>
      <c r="P13" s="77"/>
      <c r="Q13" s="77"/>
      <c r="R13" s="77"/>
      <c r="S13" s="77"/>
      <c r="T13" s="77"/>
      <c r="U13" s="77"/>
      <c r="V13" s="77"/>
      <c r="W13" s="77"/>
      <c r="X13" s="77"/>
      <c r="Y13" s="77"/>
      <c r="Z13" s="77"/>
      <c r="AA13" s="77"/>
      <c r="AB13" s="77"/>
      <c r="AC13" s="22">
        <f t="shared" ref="AC13:AC20" si="9">SUMIF(AD$12:AS$12,"总值",AD13:AS13)</f>
        <v>5982.8520000000008</v>
      </c>
      <c r="AD13" s="3510">
        <f>信息及取费!M16-'数据-基础表'!AH13</f>
        <v>191.65200000000002</v>
      </c>
      <c r="AE13" s="3510"/>
      <c r="AF13" s="3510">
        <f>信息及取费!M21-AJ13</f>
        <v>619.46</v>
      </c>
      <c r="AG13" s="3510"/>
      <c r="AH13" s="3510">
        <f>信息及取费!E69</f>
        <v>100.41</v>
      </c>
      <c r="AI13" s="3510"/>
      <c r="AJ13" s="3522">
        <v>50.46</v>
      </c>
      <c r="AK13" s="3510"/>
      <c r="AL13" s="3510">
        <f>信息及取费!M18</f>
        <v>46.63</v>
      </c>
      <c r="AM13" s="2305"/>
      <c r="AN13" s="3510">
        <f>信息及取费!M26</f>
        <v>4974.2400000000007</v>
      </c>
      <c r="AO13" s="3510"/>
      <c r="AP13" s="3510"/>
      <c r="AQ13" s="3510"/>
      <c r="AR13" s="3510"/>
      <c r="AS13" s="3510"/>
      <c r="AT13" s="3511">
        <f>信息及取费!M19+信息及取费!M28</f>
        <v>5300.45</v>
      </c>
      <c r="AU13" s="2307"/>
      <c r="AV13" s="14">
        <f t="shared" ref="AV13:AX20" si="10">A13</f>
        <v>0</v>
      </c>
      <c r="AW13" s="14">
        <f t="shared" si="10"/>
        <v>0</v>
      </c>
      <c r="AX13" s="14">
        <f t="shared" si="10"/>
        <v>0</v>
      </c>
      <c r="AY13" s="907">
        <f t="shared" ref="AY13:AY20" si="11">ROUND($AY$6*AZ13/$AZ$5,2)</f>
        <v>21822.21</v>
      </c>
      <c r="AZ13" s="22">
        <f t="shared" ref="AZ13:AZ20" si="12">BA13+BL13</f>
        <v>72618.101999999999</v>
      </c>
      <c r="BA13" s="22">
        <f t="shared" ref="BA13:BA20" si="13">SUM(BB13:BK13)</f>
        <v>66635.25</v>
      </c>
      <c r="BB13" s="22">
        <f t="shared" ref="BB13:BB20" si="14">IF($D13="是",I13-J13,0)</f>
        <v>47623.45</v>
      </c>
      <c r="BC13" s="22">
        <f t="shared" ref="BC13:BC20" si="15">IF($D13="是",K13-L13,0)</f>
        <v>3496.29</v>
      </c>
      <c r="BD13" s="22">
        <f t="shared" ref="BD13:BD20" si="16">IF($D13="是",M13-N13,0)</f>
        <v>15515.510000000002</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5982.8520000000008</v>
      </c>
      <c r="BM13" s="22">
        <f t="shared" ref="BM13:BM20" si="25">IF($D13="是",AD13-AE13,0)</f>
        <v>191.65200000000002</v>
      </c>
      <c r="BN13" s="22">
        <f t="shared" ref="BN13:BN20" si="26">IF($D13="是",AF13-AG13,0)</f>
        <v>619.46</v>
      </c>
      <c r="BO13" s="22">
        <f t="shared" ref="BO13:BO20" si="27">IF($D13="是",AH13-AI13,0)</f>
        <v>100.41</v>
      </c>
      <c r="BP13" s="22">
        <f t="shared" ref="BP13:BP20" si="28">IF($D13="是",AJ13-AK13,0)</f>
        <v>50.46</v>
      </c>
      <c r="BQ13" s="22">
        <f t="shared" ref="BQ13:BQ20" si="29">IF($D13="是",AL13-AM13,0)</f>
        <v>46.63</v>
      </c>
      <c r="BR13" s="22">
        <f t="shared" ref="BR13:BR20" si="30">IF($D13="是",AN13-AO13,0)</f>
        <v>4974.2400000000007</v>
      </c>
      <c r="BS13" s="22">
        <f t="shared" ref="BS13:BS20" si="31">IF($D13="是",AP13-AQ13,0)</f>
        <v>0</v>
      </c>
      <c r="BT13" s="31">
        <f t="shared" ref="BT13:BT20" si="32">IF($D13="是",AR13-AS13,0)</f>
        <v>0</v>
      </c>
    </row>
    <row r="14" spans="1:72" s="15" customFormat="1" ht="12.75">
      <c r="A14" s="2298"/>
      <c r="B14" s="2298"/>
      <c r="C14" s="2300"/>
      <c r="D14" s="2299"/>
      <c r="E14" s="22">
        <f t="shared" si="6"/>
        <v>0</v>
      </c>
      <c r="F14" s="75"/>
      <c r="G14" s="76">
        <f t="shared" si="7"/>
        <v>0</v>
      </c>
      <c r="H14" s="28">
        <f t="shared" si="8"/>
        <v>0</v>
      </c>
      <c r="I14" s="2301"/>
      <c r="J14" s="2301"/>
      <c r="K14" s="2301"/>
      <c r="L14" s="2301"/>
      <c r="M14" s="2301"/>
      <c r="N14" s="77"/>
      <c r="O14" s="77"/>
      <c r="P14" s="77"/>
      <c r="Q14" s="77"/>
      <c r="R14" s="77"/>
      <c r="S14" s="77"/>
      <c r="T14" s="77"/>
      <c r="U14" s="77"/>
      <c r="V14" s="77"/>
      <c r="W14" s="77"/>
      <c r="X14" s="77"/>
      <c r="Y14" s="77"/>
      <c r="Z14" s="77"/>
      <c r="AA14" s="77"/>
      <c r="AB14" s="77"/>
      <c r="AC14" s="22">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8"/>
      <c r="B15" s="2298"/>
      <c r="C15" s="2300"/>
      <c r="D15" s="2299"/>
      <c r="E15" s="22">
        <f t="shared" si="6"/>
        <v>0</v>
      </c>
      <c r="F15" s="75"/>
      <c r="G15" s="76">
        <f t="shared" si="7"/>
        <v>0</v>
      </c>
      <c r="H15" s="28">
        <f t="shared" si="8"/>
        <v>0</v>
      </c>
      <c r="I15" s="2301"/>
      <c r="J15" s="2301"/>
      <c r="K15" s="2301"/>
      <c r="L15" s="2301"/>
      <c r="M15" s="2301"/>
      <c r="N15" s="77"/>
      <c r="O15" s="77"/>
      <c r="P15" s="77"/>
      <c r="Q15" s="77"/>
      <c r="R15" s="77"/>
      <c r="S15" s="77"/>
      <c r="T15" s="77"/>
      <c r="U15" s="77"/>
      <c r="V15" s="77"/>
      <c r="W15" s="77"/>
      <c r="X15" s="77"/>
      <c r="Y15" s="77"/>
      <c r="Z15" s="77"/>
      <c r="AA15" s="77"/>
      <c r="AB15" s="77"/>
      <c r="AC15" s="22">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8"/>
      <c r="B16" s="2298"/>
      <c r="C16" s="2300"/>
      <c r="D16" s="2299"/>
      <c r="E16" s="22">
        <f t="shared" si="6"/>
        <v>0</v>
      </c>
      <c r="F16" s="75"/>
      <c r="G16" s="76">
        <f t="shared" si="7"/>
        <v>0</v>
      </c>
      <c r="H16" s="28">
        <f t="shared" si="8"/>
        <v>0</v>
      </c>
      <c r="I16" s="2301"/>
      <c r="J16" s="2301"/>
      <c r="K16" s="2301"/>
      <c r="L16" s="2301"/>
      <c r="M16" s="2301"/>
      <c r="N16" s="77"/>
      <c r="O16" s="77"/>
      <c r="P16" s="77"/>
      <c r="Q16" s="77"/>
      <c r="R16" s="77"/>
      <c r="S16" s="77"/>
      <c r="T16" s="77"/>
      <c r="U16" s="77"/>
      <c r="V16" s="77"/>
      <c r="W16" s="77"/>
      <c r="X16" s="77"/>
      <c r="Y16" s="77"/>
      <c r="Z16" s="77"/>
      <c r="AA16" s="77"/>
      <c r="AB16" s="77"/>
      <c r="AC16" s="22">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8"/>
      <c r="B17" s="2298"/>
      <c r="C17" s="2300"/>
      <c r="D17" s="2299"/>
      <c r="E17" s="22">
        <f t="shared" si="6"/>
        <v>0</v>
      </c>
      <c r="F17" s="75"/>
      <c r="G17" s="76">
        <f t="shared" si="7"/>
        <v>0</v>
      </c>
      <c r="H17" s="28">
        <f t="shared" si="8"/>
        <v>0</v>
      </c>
      <c r="I17" s="2301"/>
      <c r="J17" s="2301"/>
      <c r="K17" s="2301"/>
      <c r="L17" s="2301"/>
      <c r="M17" s="2301"/>
      <c r="N17" s="77"/>
      <c r="O17" s="77"/>
      <c r="P17" s="77"/>
      <c r="Q17" s="77"/>
      <c r="R17" s="77"/>
      <c r="S17" s="77"/>
      <c r="T17" s="77"/>
      <c r="U17" s="77"/>
      <c r="V17" s="77"/>
      <c r="W17" s="77"/>
      <c r="X17" s="77"/>
      <c r="Y17" s="77"/>
      <c r="Z17" s="77"/>
      <c r="AA17" s="77"/>
      <c r="AB17" s="77"/>
      <c r="AC17" s="22">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9"/>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9"/>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9"/>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9"/>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9"/>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9"/>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9"/>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9"/>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9"/>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9"/>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9"/>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9"/>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9"/>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9"/>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9"/>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9"/>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9"/>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9"/>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9"/>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9"/>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9"/>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9"/>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9"/>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9"/>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9"/>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9"/>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9"/>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9"/>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9"/>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9"/>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9"/>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9"/>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9"/>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9"/>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9"/>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9"/>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9"/>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9"/>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9"/>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9"/>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9"/>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9"/>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9"/>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9"/>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9"/>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9"/>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9"/>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9"/>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9"/>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9"/>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9"/>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9"/>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9"/>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9"/>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9"/>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9"/>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9"/>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9"/>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9"/>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9"/>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9"/>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9"/>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9"/>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9"/>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9"/>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9"/>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9"/>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9"/>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9"/>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9"/>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9"/>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9"/>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9"/>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9"/>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9"/>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9"/>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9"/>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9"/>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9"/>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9"/>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9"/>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9"/>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9"/>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9"/>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9"/>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9"/>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9"/>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9"/>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9"/>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9"/>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9"/>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9"/>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9"/>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9"/>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9"/>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9"/>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9"/>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9"/>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9"/>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9"/>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9"/>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9"/>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9"/>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9"/>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9"/>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9"/>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9"/>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9"/>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9"/>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9"/>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9"/>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9"/>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9"/>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9"/>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9"/>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9"/>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9"/>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9"/>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9"/>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9"/>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9"/>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9"/>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9"/>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9"/>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9"/>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9"/>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9"/>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9"/>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9"/>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9"/>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9"/>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9"/>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9"/>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9"/>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9"/>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9"/>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9"/>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9"/>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9"/>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9"/>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9"/>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9"/>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9"/>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9"/>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9"/>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9"/>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9"/>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9"/>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9"/>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9"/>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9"/>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9"/>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9"/>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9"/>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9"/>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9"/>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9"/>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9"/>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9"/>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9"/>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9"/>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9"/>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9"/>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9"/>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9"/>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9"/>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9"/>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9"/>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9"/>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9"/>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9"/>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9"/>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9"/>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9"/>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9"/>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9"/>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9"/>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9"/>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9"/>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9"/>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9"/>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9"/>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9"/>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9"/>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9"/>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9"/>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9"/>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9"/>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9"/>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9"/>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9"/>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9"/>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9"/>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9"/>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9"/>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9"/>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9"/>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9"/>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9"/>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9"/>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9"/>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9"/>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9"/>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9"/>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9"/>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9"/>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9"/>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9"/>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9"/>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9"/>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9"/>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9"/>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9"/>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9"/>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9"/>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9"/>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9"/>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9"/>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9"/>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9"/>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9"/>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9"/>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9"/>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9"/>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9"/>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9"/>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9"/>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9"/>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9"/>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9"/>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9"/>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9"/>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9"/>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9"/>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9"/>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9"/>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9"/>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9"/>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9"/>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9"/>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9"/>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9"/>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9"/>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9"/>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9"/>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9"/>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9"/>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9"/>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9"/>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9"/>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9"/>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9"/>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9"/>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9"/>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9"/>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9"/>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9"/>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9"/>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9"/>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9"/>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9"/>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9"/>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9"/>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9"/>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9"/>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9"/>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9"/>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9"/>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9"/>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9"/>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9"/>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9"/>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9"/>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9"/>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9"/>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9"/>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9"/>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9"/>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9"/>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9"/>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9"/>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9"/>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9"/>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9"/>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9"/>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9"/>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9"/>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9"/>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9"/>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9"/>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9"/>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9"/>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9"/>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9"/>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9"/>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9"/>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9"/>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9"/>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9"/>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9"/>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9"/>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9"/>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9"/>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9"/>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9"/>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9"/>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9"/>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9"/>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9"/>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9"/>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9"/>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9"/>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9"/>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9"/>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9"/>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9"/>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9"/>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9"/>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9"/>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9"/>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9"/>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9"/>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9"/>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9"/>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9"/>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9"/>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9"/>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9"/>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9"/>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9"/>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9"/>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9"/>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9"/>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9"/>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9"/>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9"/>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9"/>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9"/>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9"/>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9"/>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9"/>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9"/>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9"/>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9"/>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9"/>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9"/>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9"/>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9"/>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9"/>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9"/>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9"/>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9"/>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9"/>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9"/>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9"/>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9"/>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9"/>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9"/>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9"/>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9"/>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9"/>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9"/>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9"/>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9"/>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9"/>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9"/>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9"/>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9"/>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9"/>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9"/>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9"/>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9"/>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9"/>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9"/>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9"/>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9"/>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9"/>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9"/>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9"/>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9"/>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9"/>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9"/>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9"/>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9"/>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9"/>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9"/>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9"/>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9"/>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9"/>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9"/>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9"/>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9"/>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9"/>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9"/>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9"/>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9"/>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9"/>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9"/>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9"/>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9"/>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9"/>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9"/>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9"/>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9"/>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9"/>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9"/>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9"/>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9"/>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9"/>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9"/>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9"/>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9"/>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9"/>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9"/>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9"/>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9"/>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9"/>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9"/>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9"/>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9"/>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9"/>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9"/>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9"/>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9"/>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9"/>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9"/>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9"/>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9"/>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9"/>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9"/>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9"/>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9"/>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9"/>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9"/>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9"/>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9"/>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9"/>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9"/>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9"/>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9"/>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9"/>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9"/>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9"/>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9"/>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9"/>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9"/>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9"/>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9"/>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9"/>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9"/>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9"/>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9"/>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9"/>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9"/>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9"/>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9"/>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9"/>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9"/>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9"/>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9"/>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9"/>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9"/>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9"/>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9"/>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9"/>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9"/>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9"/>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9"/>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9"/>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9"/>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9"/>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9"/>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9"/>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9"/>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9"/>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9"/>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9"/>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9"/>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9"/>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9"/>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9"/>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9"/>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9"/>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9"/>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9"/>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9"/>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9"/>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9"/>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9"/>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9"/>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9"/>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9"/>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9"/>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9"/>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9"/>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9"/>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9"/>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9"/>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9"/>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9"/>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9"/>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9"/>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9"/>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9"/>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9"/>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9"/>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9"/>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9"/>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9"/>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9"/>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9"/>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9"/>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9"/>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9"/>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9"/>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9"/>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9"/>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9"/>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9"/>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9"/>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9"/>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9"/>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9"/>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9"/>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9"/>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9"/>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9"/>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9"/>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9"/>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9"/>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9"/>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9"/>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9"/>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9"/>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9"/>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9"/>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9"/>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9"/>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9"/>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9"/>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9"/>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9"/>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9"/>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9"/>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9"/>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9"/>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9"/>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9"/>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9"/>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9"/>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9"/>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9"/>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9"/>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9"/>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9"/>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70" zoomScaleSheetLayoutView="115" workbookViewId="0">
      <selection activeCell="E22" sqref="E22"/>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23" t="s">
        <v>169</v>
      </c>
      <c r="B2" s="3623"/>
      <c r="C2" s="3623"/>
      <c r="D2" s="1629" t="s">
        <v>170</v>
      </c>
      <c r="E2" s="96" t="s">
        <v>171</v>
      </c>
      <c r="F2" s="2608"/>
      <c r="G2" s="1039"/>
      <c r="H2" s="1040"/>
      <c r="I2" s="1041" t="s">
        <v>795</v>
      </c>
      <c r="J2" s="2608"/>
      <c r="K2" s="2608"/>
      <c r="L2" s="2608"/>
      <c r="M2" s="2608"/>
      <c r="N2" s="2608"/>
      <c r="O2" s="2608"/>
      <c r="P2" s="2608"/>
    </row>
    <row r="3" spans="1:16" ht="15.75" thickBot="1">
      <c r="A3" s="3624" t="s">
        <v>172</v>
      </c>
      <c r="B3" s="3624"/>
      <c r="C3" s="3624"/>
      <c r="D3" s="97">
        <f>'数据-基础表'!AY6</f>
        <v>21822.21</v>
      </c>
      <c r="E3" s="97">
        <f>'数据-基础表'!AZ5</f>
        <v>72618.101999999999</v>
      </c>
      <c r="F3" s="2608"/>
      <c r="G3" s="105" t="s">
        <v>796</v>
      </c>
      <c r="H3" s="101" t="s">
        <v>797</v>
      </c>
      <c r="I3" s="994">
        <f>ROUND('数据-基础表'!B3/'数据-基础表'!A3,2)</f>
        <v>3.33</v>
      </c>
      <c r="J3" s="2608"/>
      <c r="K3" s="2608"/>
      <c r="L3" s="2608"/>
      <c r="M3" s="2608"/>
      <c r="N3" s="2608"/>
      <c r="O3" s="2608"/>
      <c r="P3" s="2608"/>
    </row>
    <row r="4" spans="1:16" ht="15">
      <c r="A4" s="3625"/>
      <c r="B4" s="3626"/>
      <c r="C4" s="3627"/>
      <c r="D4" s="98" t="s">
        <v>170</v>
      </c>
      <c r="E4" s="99" t="s">
        <v>171</v>
      </c>
      <c r="F4" s="2608"/>
      <c r="G4" s="118"/>
      <c r="H4" s="101" t="s">
        <v>798</v>
      </c>
      <c r="I4" s="994">
        <f>ROUND(SUMIF('数据-基础表'!I9:AS9,"地上",'数据-基础表'!I5:AS5)/'数据-基础表'!A3,2)</f>
        <v>2.2000000000000002</v>
      </c>
      <c r="J4" s="2608"/>
      <c r="K4" s="2608"/>
      <c r="L4" s="2608"/>
      <c r="M4" s="2608"/>
      <c r="N4" s="2608"/>
      <c r="O4" s="2608"/>
      <c r="P4" s="2608"/>
    </row>
    <row r="5" spans="1:16">
      <c r="A5" s="100" t="s">
        <v>173</v>
      </c>
      <c r="B5" s="3628" t="s">
        <v>196</v>
      </c>
      <c r="C5" s="3628"/>
      <c r="D5" s="101">
        <f>ROUND($D$3*E5/$E$3,2)</f>
        <v>14311.16</v>
      </c>
      <c r="E5" s="102">
        <f>SUMIF('数据-基础表'!$11:$11,"住宅",'数据-基础表'!$5:$5)</f>
        <v>47623.45</v>
      </c>
      <c r="F5" s="2608"/>
      <c r="G5" s="105" t="s">
        <v>799</v>
      </c>
      <c r="H5" s="101" t="s">
        <v>797</v>
      </c>
      <c r="I5" s="994">
        <f>ROUND(E31/D31,2)</f>
        <v>3.33</v>
      </c>
      <c r="J5" s="2608"/>
      <c r="K5" s="2608"/>
      <c r="L5" s="2608"/>
      <c r="M5" s="2608"/>
      <c r="N5" s="2608"/>
      <c r="O5" s="2608"/>
      <c r="P5" s="2608"/>
    </row>
    <row r="6" spans="1:16" ht="15" thickBot="1">
      <c r="A6" s="103"/>
      <c r="B6" s="3628" t="s">
        <v>174</v>
      </c>
      <c r="C6" s="3628"/>
      <c r="D6" s="101">
        <f>ROUND($D$3*E6/$E$3,2)</f>
        <v>7511.05</v>
      </c>
      <c r="E6" s="102">
        <f>E3-E5</f>
        <v>24994.652000000002</v>
      </c>
      <c r="F6" s="2608"/>
      <c r="G6" s="118"/>
      <c r="H6" s="101" t="s">
        <v>798</v>
      </c>
      <c r="I6" s="994">
        <f>ROUND(F31/D31,2)</f>
        <v>2.2000000000000002</v>
      </c>
      <c r="J6" s="2608"/>
      <c r="K6" s="2608"/>
      <c r="L6" s="2608"/>
      <c r="M6" s="2608"/>
      <c r="N6" s="2608"/>
      <c r="O6" s="2608"/>
      <c r="P6" s="2608"/>
    </row>
    <row r="7" spans="1:16" ht="15">
      <c r="A7" s="3620"/>
      <c r="B7" s="3621"/>
      <c r="C7" s="3622"/>
      <c r="D7" s="98" t="s">
        <v>170</v>
      </c>
      <c r="E7" s="104" t="s">
        <v>197</v>
      </c>
      <c r="F7" s="2608"/>
      <c r="G7" s="999" t="s">
        <v>1180</v>
      </c>
      <c r="H7" s="1000"/>
      <c r="I7" s="126">
        <f>I4</f>
        <v>2.2000000000000002</v>
      </c>
      <c r="J7" s="2608"/>
      <c r="K7" s="2608"/>
      <c r="L7" s="2608"/>
      <c r="M7" s="2608"/>
      <c r="N7" s="2608"/>
      <c r="O7" s="2608"/>
      <c r="P7" s="2608"/>
    </row>
    <row r="8" spans="1:16">
      <c r="A8" s="100" t="s">
        <v>175</v>
      </c>
      <c r="B8" s="105" t="s">
        <v>176</v>
      </c>
      <c r="C8" s="101" t="s">
        <v>177</v>
      </c>
      <c r="D8" s="101">
        <f t="shared" ref="D8:D15" si="0">ROUND($D$3*E8/$E$3,2)</f>
        <v>14311.16</v>
      </c>
      <c r="E8" s="106">
        <f>SUMIF('数据-基础表'!BB10:BK10,"地上",'数据-基础表'!BB5:BK5)</f>
        <v>47623.45</v>
      </c>
      <c r="F8" s="2608"/>
      <c r="G8" s="2608"/>
      <c r="H8" s="2608"/>
      <c r="I8" s="2608"/>
      <c r="J8" s="2608"/>
      <c r="K8" s="2608"/>
      <c r="L8" s="2608"/>
      <c r="M8" s="2608"/>
      <c r="N8" s="2608"/>
      <c r="O8" s="2608"/>
      <c r="P8" s="2608"/>
    </row>
    <row r="9" spans="1:16">
      <c r="A9" s="107"/>
      <c r="B9" s="108"/>
      <c r="C9" s="101" t="s">
        <v>178</v>
      </c>
      <c r="D9" s="101">
        <f t="shared" si="0"/>
        <v>30.17</v>
      </c>
      <c r="E9" s="109">
        <f>'数据-基础表'!AH13</f>
        <v>100.41</v>
      </c>
      <c r="F9" s="2608"/>
      <c r="G9" s="2608"/>
      <c r="H9" s="2608"/>
      <c r="I9" s="2608"/>
      <c r="J9" s="2608"/>
      <c r="K9" s="2608"/>
      <c r="L9" s="2608"/>
      <c r="M9" s="2608"/>
      <c r="N9" s="2608"/>
      <c r="O9" s="2608"/>
      <c r="P9" s="2608"/>
    </row>
    <row r="10" spans="1:16">
      <c r="A10" s="107"/>
      <c r="B10" s="108"/>
      <c r="C10" s="101" t="s">
        <v>179</v>
      </c>
      <c r="D10" s="101">
        <f t="shared" si="0"/>
        <v>0</v>
      </c>
      <c r="E10" s="106">
        <f>SUMPRODUCT(('数据-基础表'!BB10:BK10="地下")*('数据-基础表'!BB11:BK11="商业")*('数据-基础表'!BB5:BK5))</f>
        <v>0</v>
      </c>
      <c r="F10" s="2608"/>
      <c r="G10" s="2608"/>
      <c r="H10" s="2608"/>
      <c r="I10" s="2608"/>
      <c r="J10" s="2608"/>
      <c r="K10" s="2608"/>
      <c r="L10" s="2608"/>
      <c r="M10" s="2608"/>
      <c r="N10" s="2608"/>
      <c r="O10" s="2608"/>
      <c r="P10" s="2608"/>
    </row>
    <row r="11" spans="1:16">
      <c r="A11" s="107"/>
      <c r="B11" s="108"/>
      <c r="C11" s="1916" t="s">
        <v>1684</v>
      </c>
      <c r="D11" s="101">
        <f t="shared" si="0"/>
        <v>15.16</v>
      </c>
      <c r="E11" s="106">
        <f>SUMPRODUCT(('数据-基础表'!BB10:BK10="地下")*('数据-基础表'!BB11:BK11="办公")*('数据-基础表'!BB5:BK5))+'数据-基础表'!AJ5</f>
        <v>50.46</v>
      </c>
      <c r="F11" s="2608"/>
      <c r="G11" s="2608"/>
      <c r="H11" s="2608"/>
      <c r="I11" s="2608"/>
      <c r="J11" s="2608"/>
      <c r="K11" s="2608"/>
      <c r="L11" s="2608"/>
      <c r="M11" s="2608"/>
      <c r="N11" s="2608"/>
      <c r="O11" s="2608"/>
      <c r="P11" s="2608"/>
    </row>
    <row r="12" spans="1:16">
      <c r="A12" s="107"/>
      <c r="B12" s="108"/>
      <c r="C12" s="101" t="s">
        <v>180</v>
      </c>
      <c r="D12" s="101">
        <f t="shared" si="0"/>
        <v>1050.6600000000001</v>
      </c>
      <c r="E12" s="106">
        <f>SUMPRODUCT(('数据-基础表'!BB10:BK10="地下")*('数据-基础表'!BB11:BK11="仓储")*('数据-基础表'!BB5:BK5))</f>
        <v>3496.29</v>
      </c>
      <c r="F12" s="2608"/>
      <c r="G12" s="2608"/>
      <c r="H12" s="2608"/>
      <c r="I12" s="2608"/>
      <c r="J12" s="2608"/>
      <c r="K12" s="2608"/>
      <c r="L12" s="2608"/>
      <c r="M12" s="2608"/>
      <c r="N12" s="2608"/>
      <c r="O12" s="2608"/>
      <c r="P12" s="2608"/>
    </row>
    <row r="13" spans="1:16">
      <c r="A13" s="107"/>
      <c r="B13" s="108"/>
      <c r="C13" s="1916" t="s">
        <v>1691</v>
      </c>
      <c r="D13" s="101">
        <f t="shared" si="0"/>
        <v>4662.51</v>
      </c>
      <c r="E13" s="106">
        <f>SUMPRODUCT(('数据-基础表'!BB10:BK10="地下")*('数据-基础表'!BB11:BK11="车库")*('数据-基础表'!BB5:BK5))</f>
        <v>15515.510000000002</v>
      </c>
      <c r="F13" s="2608"/>
      <c r="G13" s="2608"/>
      <c r="H13" s="2608"/>
      <c r="I13" s="2608"/>
      <c r="J13" s="2608"/>
      <c r="K13" s="2608"/>
      <c r="L13" s="2608"/>
      <c r="M13" s="2608"/>
      <c r="N13" s="2608"/>
      <c r="O13" s="2608"/>
      <c r="P13" s="2608"/>
    </row>
    <row r="14" spans="1:16">
      <c r="A14" s="107"/>
      <c r="B14" s="108"/>
      <c r="C14" s="101" t="s">
        <v>198</v>
      </c>
      <c r="D14" s="101">
        <f t="shared" si="0"/>
        <v>0</v>
      </c>
      <c r="E14" s="106">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7"/>
      <c r="B15" s="108"/>
      <c r="C15" s="101" t="s">
        <v>199</v>
      </c>
      <c r="D15" s="101">
        <f t="shared" si="0"/>
        <v>0</v>
      </c>
      <c r="E15" s="106">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3"/>
      <c r="B16" s="108"/>
      <c r="C16" s="105" t="s">
        <v>181</v>
      </c>
      <c r="D16" s="105">
        <f>SUM(D8:D15)</f>
        <v>20069.66</v>
      </c>
      <c r="E16" s="110">
        <f>SUM(E8:E15)</f>
        <v>66786.12</v>
      </c>
      <c r="F16" s="2608"/>
      <c r="G16" s="2608"/>
      <c r="H16" s="880" t="s">
        <v>185</v>
      </c>
      <c r="I16" s="881"/>
      <c r="J16" s="1631"/>
      <c r="K16" s="3614" t="s">
        <v>1849</v>
      </c>
      <c r="L16" s="3615"/>
      <c r="M16" s="3615"/>
      <c r="N16" s="3615"/>
      <c r="O16" s="3615"/>
      <c r="P16" s="3616"/>
    </row>
    <row r="17" spans="1:19" ht="15">
      <c r="A17" s="111" t="s">
        <v>182</v>
      </c>
      <c r="B17" s="112" t="s">
        <v>183</v>
      </c>
      <c r="C17" s="1884" t="s">
        <v>1670</v>
      </c>
      <c r="D17" s="98" t="s">
        <v>170</v>
      </c>
      <c r="E17" s="114" t="s">
        <v>171</v>
      </c>
      <c r="F17" s="115"/>
      <c r="G17" s="1156"/>
      <c r="H17" s="882" t="s">
        <v>184</v>
      </c>
      <c r="I17" s="883" t="s">
        <v>1669</v>
      </c>
      <c r="J17" s="1631"/>
      <c r="K17" s="3617" t="s">
        <v>1850</v>
      </c>
      <c r="L17" s="3618"/>
      <c r="M17" s="3619"/>
      <c r="N17" s="3617" t="s">
        <v>1851</v>
      </c>
      <c r="O17" s="3618"/>
      <c r="P17" s="3619"/>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8" t="s">
        <v>3709</v>
      </c>
      <c r="D19" s="101">
        <f t="shared" ref="D19:D26" si="1">ROUND($D$3*E19/$E$3,2)</f>
        <v>14311.16</v>
      </c>
      <c r="E19" s="123">
        <f t="shared" ref="E19:E26" si="2">SUM(F19:G19)</f>
        <v>47623.45</v>
      </c>
      <c r="F19" s="2609">
        <f>'数据-基础表'!I13</f>
        <v>47623.45</v>
      </c>
      <c r="G19" s="2610"/>
      <c r="H19" s="886">
        <f>ROUND($D$3*I19/$E$3,2)</f>
        <v>1367.41</v>
      </c>
      <c r="I19" s="106">
        <f>IF($I$17="自定义",P19,M19)</f>
        <v>4550.34</v>
      </c>
      <c r="J19" s="1631"/>
      <c r="K19" s="886">
        <f t="shared" ref="K19:K26" si="3">ROUND(E$28*E19/E$27,2)</f>
        <v>3588.36</v>
      </c>
      <c r="L19" s="101">
        <f t="shared" ref="L19:L26" si="4">ROUND(IF(COUNTIF(C19,"*住宅*")&gt;0,E$29*E19/E$32,0),2)</f>
        <v>961.98</v>
      </c>
      <c r="M19" s="106">
        <f>K19+L19</f>
        <v>4550.34</v>
      </c>
      <c r="N19" s="2064"/>
      <c r="O19" s="2065"/>
      <c r="P19" s="2066">
        <f>N19+O19</f>
        <v>0</v>
      </c>
      <c r="R19" s="101">
        <f t="shared" ref="R19:S26" si="5">D19+H19</f>
        <v>15678.57</v>
      </c>
      <c r="S19" s="123">
        <f t="shared" si="5"/>
        <v>52173.789999999994</v>
      </c>
    </row>
    <row r="20" spans="1:19">
      <c r="A20" s="122"/>
      <c r="B20" s="105" t="s">
        <v>192</v>
      </c>
      <c r="C20" s="2308" t="s">
        <v>3710</v>
      </c>
      <c r="D20" s="101">
        <f t="shared" si="1"/>
        <v>1050.6600000000001</v>
      </c>
      <c r="E20" s="123">
        <f t="shared" si="2"/>
        <v>3496.29</v>
      </c>
      <c r="F20" s="2609"/>
      <c r="G20" s="2610">
        <f>'数据-基础表'!K13</f>
        <v>3496.29</v>
      </c>
      <c r="H20" s="886">
        <f t="shared" ref="H20:H26" si="6">ROUND($D$3*I20/$E$3,2)</f>
        <v>79.17</v>
      </c>
      <c r="I20" s="106">
        <f t="shared" ref="I20:I26" si="7">IF($I$17="自定义",P20,M20)</f>
        <v>263.44</v>
      </c>
      <c r="J20" s="1631"/>
      <c r="K20" s="886">
        <f t="shared" si="3"/>
        <v>263.44</v>
      </c>
      <c r="L20" s="101">
        <f t="shared" si="4"/>
        <v>0</v>
      </c>
      <c r="M20" s="106">
        <f t="shared" ref="M20:M26" si="8">K20+L20</f>
        <v>263.44</v>
      </c>
      <c r="N20" s="2064"/>
      <c r="O20" s="2065"/>
      <c r="P20" s="2066">
        <f t="shared" ref="P20:P26" si="9">N20+O20</f>
        <v>0</v>
      </c>
      <c r="R20" s="101">
        <f t="shared" si="5"/>
        <v>1129.8300000000002</v>
      </c>
      <c r="S20" s="123">
        <f t="shared" si="5"/>
        <v>3759.73</v>
      </c>
    </row>
    <row r="21" spans="1:19">
      <c r="A21" s="122"/>
      <c r="B21" s="105" t="s">
        <v>192</v>
      </c>
      <c r="C21" s="2308" t="s">
        <v>3711</v>
      </c>
      <c r="D21" s="101">
        <f t="shared" si="1"/>
        <v>4662.51</v>
      </c>
      <c r="E21" s="123">
        <f t="shared" si="2"/>
        <v>15515.510000000002</v>
      </c>
      <c r="F21" s="2609"/>
      <c r="G21" s="2610">
        <f>'数据-基础表'!M13</f>
        <v>15515.510000000002</v>
      </c>
      <c r="H21" s="886">
        <f t="shared" si="6"/>
        <v>351.31</v>
      </c>
      <c r="I21" s="106">
        <f t="shared" si="7"/>
        <v>1169.07</v>
      </c>
      <c r="J21" s="1631"/>
      <c r="K21" s="886">
        <f t="shared" si="3"/>
        <v>1169.07</v>
      </c>
      <c r="L21" s="101">
        <f t="shared" si="4"/>
        <v>0</v>
      </c>
      <c r="M21" s="106">
        <f t="shared" si="8"/>
        <v>1169.07</v>
      </c>
      <c r="N21" s="2064"/>
      <c r="O21" s="2065"/>
      <c r="P21" s="2066">
        <f t="shared" si="9"/>
        <v>0</v>
      </c>
      <c r="R21" s="101">
        <f t="shared" si="5"/>
        <v>5013.8200000000006</v>
      </c>
      <c r="S21" s="123">
        <f t="shared" si="5"/>
        <v>16684.580000000002</v>
      </c>
    </row>
    <row r="22" spans="1:19">
      <c r="A22" s="122"/>
      <c r="B22" s="105" t="s">
        <v>192</v>
      </c>
      <c r="C22" s="3079"/>
      <c r="D22" s="101">
        <f t="shared" si="1"/>
        <v>0</v>
      </c>
      <c r="E22" s="123">
        <f t="shared" si="2"/>
        <v>0</v>
      </c>
      <c r="F22" s="2611"/>
      <c r="G22" s="2612"/>
      <c r="H22" s="886">
        <f t="shared" si="6"/>
        <v>0</v>
      </c>
      <c r="I22" s="106">
        <f t="shared" si="7"/>
        <v>0</v>
      </c>
      <c r="J22" s="1631"/>
      <c r="K22" s="886">
        <f t="shared" si="3"/>
        <v>0</v>
      </c>
      <c r="L22" s="101">
        <f t="shared" si="4"/>
        <v>0</v>
      </c>
      <c r="M22" s="106">
        <f t="shared" si="8"/>
        <v>0</v>
      </c>
      <c r="N22" s="2064"/>
      <c r="O22" s="2065"/>
      <c r="P22" s="2066">
        <f t="shared" si="9"/>
        <v>0</v>
      </c>
      <c r="R22" s="101">
        <f t="shared" si="5"/>
        <v>0</v>
      </c>
      <c r="S22" s="123">
        <f t="shared" si="5"/>
        <v>0</v>
      </c>
    </row>
    <row r="23" spans="1:19">
      <c r="A23" s="122"/>
      <c r="B23" s="105" t="s">
        <v>192</v>
      </c>
      <c r="C23" s="3079"/>
      <c r="D23" s="101">
        <f>ROUND($D$3*E23/$E$3,2)</f>
        <v>0</v>
      </c>
      <c r="E23" s="123">
        <f>SUM(F23:G23)</f>
        <v>0</v>
      </c>
      <c r="F23" s="2611"/>
      <c r="G23" s="2612"/>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1"/>
      <c r="G24" s="2612"/>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1"/>
      <c r="G25" s="2612"/>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1"/>
      <c r="G26" s="2612"/>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20024.330000000002</v>
      </c>
      <c r="E27" s="128">
        <f>IF(SUM(E19:E26)='数据-基础表'!BA5,SUM(E19:E26),IF(F27="地上面积有误","面积有误","地下面积有误"))</f>
        <v>66635.25</v>
      </c>
      <c r="F27" s="123">
        <f>IF(SUM(F19:F26)=E8,SUM(F19:F26),"地上面积有误")</f>
        <v>47623.45</v>
      </c>
      <c r="G27" s="102">
        <f>SUM(G19:G26)</f>
        <v>19011.800000000003</v>
      </c>
      <c r="H27" s="887">
        <f>SUM(H19:H26)</f>
        <v>1797.89</v>
      </c>
      <c r="I27" s="888">
        <f>SUM(I19:I26)</f>
        <v>5982.8499999999995</v>
      </c>
      <c r="J27" s="1631"/>
      <c r="K27" s="2070">
        <f t="shared" ref="K27:P27" si="10">SUM(K19:K26)</f>
        <v>5020.87</v>
      </c>
      <c r="L27" s="2071">
        <f t="shared" si="10"/>
        <v>961.98</v>
      </c>
      <c r="M27" s="2072">
        <f t="shared" si="10"/>
        <v>5982.8499999999995</v>
      </c>
      <c r="N27" s="2070">
        <f t="shared" si="10"/>
        <v>0</v>
      </c>
      <c r="O27" s="2071">
        <f t="shared" si="10"/>
        <v>0</v>
      </c>
      <c r="P27" s="193">
        <f t="shared" si="10"/>
        <v>0</v>
      </c>
      <c r="R27" s="1890" t="str">
        <f>IF(SUM(R19:R26)=$D$3,SUM(R19:R26),SUM(R19:R26)&amp;"误差"&amp;ROUND(SUM(R19:R26)-$D$3,2))</f>
        <v>21822.22误差0.01</v>
      </c>
      <c r="S27" s="101" t="str">
        <f>IF(SUM(S19:S26)=$E$3,SUM(S19:S26),SUM(S19:S26)&amp;"误差"&amp;ROUND(SUM(S19:S26)-E3,2))</f>
        <v>72618.1误差0</v>
      </c>
    </row>
    <row r="28" spans="1:19">
      <c r="A28" s="122"/>
      <c r="B28" s="105" t="s">
        <v>193</v>
      </c>
      <c r="C28" s="124" t="s">
        <v>194</v>
      </c>
      <c r="D28" s="101">
        <f>ROUND($D$3*E28/$E$3,2)</f>
        <v>1508.8</v>
      </c>
      <c r="E28" s="123">
        <f>SUM(F28:G28)</f>
        <v>5020.8700000000008</v>
      </c>
      <c r="F28" s="124">
        <f>'数据-基础表'!BQ5+'数据-基础表'!BS5</f>
        <v>46.63</v>
      </c>
      <c r="G28" s="129">
        <f>'数据-基础表'!BR5+'数据-基础表'!BT5</f>
        <v>4974.2400000000007</v>
      </c>
      <c r="H28" s="2608"/>
      <c r="I28" s="2608"/>
      <c r="J28" s="2608"/>
      <c r="K28" s="2608"/>
      <c r="L28" s="2608"/>
      <c r="M28" s="2608"/>
      <c r="N28" s="2608"/>
      <c r="O28" s="2608"/>
      <c r="P28" s="2608"/>
    </row>
    <row r="29" spans="1:19">
      <c r="A29" s="122"/>
      <c r="B29" s="105" t="s">
        <v>193</v>
      </c>
      <c r="C29" s="1898" t="s">
        <v>1677</v>
      </c>
      <c r="D29" s="101">
        <f>ROUND($D$3*E29/$E$3,2)</f>
        <v>289.08</v>
      </c>
      <c r="E29" s="123">
        <f>SUM(F29:G29)</f>
        <v>961.98200000000008</v>
      </c>
      <c r="F29" s="124">
        <f>'数据-基础表'!BM5+'数据-基础表'!BO5</f>
        <v>292.06200000000001</v>
      </c>
      <c r="G29" s="110">
        <f>'数据-基础表'!BN5+'数据-基础表'!BP5</f>
        <v>669.92000000000007</v>
      </c>
      <c r="H29" s="2608"/>
      <c r="I29" s="2608"/>
      <c r="J29" s="2608"/>
      <c r="K29" s="2608"/>
      <c r="L29" s="2608"/>
      <c r="M29" s="2608"/>
      <c r="N29" s="2608"/>
      <c r="O29" s="2608"/>
      <c r="P29" s="2608"/>
    </row>
    <row r="30" spans="1:19">
      <c r="A30" s="122"/>
      <c r="B30" s="101"/>
      <c r="C30" s="130" t="s">
        <v>181</v>
      </c>
      <c r="D30" s="123">
        <f>SUM(D28:D29)</f>
        <v>1797.8799999999999</v>
      </c>
      <c r="E30" s="123">
        <f>SUM(E28:E29)</f>
        <v>5982.8520000000008</v>
      </c>
      <c r="F30" s="123">
        <f>SUM(F28:F29)</f>
        <v>338.69200000000001</v>
      </c>
      <c r="G30" s="102">
        <f>SUM(G28:G29)</f>
        <v>5644.1600000000008</v>
      </c>
      <c r="H30" s="2608"/>
      <c r="I30" s="2608"/>
      <c r="J30" s="2608"/>
      <c r="K30" s="2608"/>
      <c r="L30" s="2608"/>
      <c r="M30" s="2608"/>
      <c r="N30" s="2608"/>
      <c r="O30" s="2608"/>
      <c r="P30" s="2608"/>
    </row>
    <row r="31" spans="1:19" ht="32.25" customHeight="1" thickBot="1">
      <c r="A31" s="1158"/>
      <c r="B31" s="1159" t="s">
        <v>195</v>
      </c>
      <c r="C31" s="1915" t="s">
        <v>1679</v>
      </c>
      <c r="D31" s="1160">
        <f>D27+D30</f>
        <v>21822.210000000003</v>
      </c>
      <c r="E31" s="1160">
        <f>E27+E30</f>
        <v>72618.101999999999</v>
      </c>
      <c r="F31" s="1161">
        <f>F27+F30</f>
        <v>47962.142</v>
      </c>
      <c r="G31" s="1162">
        <f>G27+G30</f>
        <v>24655.960000000003</v>
      </c>
      <c r="H31" s="2608"/>
      <c r="I31" s="2608"/>
      <c r="J31" s="2608"/>
      <c r="K31" s="2608"/>
      <c r="L31" s="2608"/>
      <c r="M31" s="2608"/>
      <c r="N31" s="2608"/>
      <c r="O31" s="2608"/>
      <c r="P31" s="2608"/>
    </row>
    <row r="32" spans="1:19">
      <c r="A32" s="1631"/>
      <c r="B32" s="1927" t="s">
        <v>1678</v>
      </c>
      <c r="C32" s="2085"/>
      <c r="D32" s="118"/>
      <c r="E32" s="118">
        <f>SUMIF(C19:C26,"*住宅*",E19:E26)</f>
        <v>47623.45</v>
      </c>
      <c r="F32" s="118"/>
      <c r="G32" s="118"/>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3234</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6" t="s">
        <v>851</v>
      </c>
      <c r="D6" s="1893">
        <f>SUMIF(项目基本情况!C$15:I$15,C6,项目基本情况!C$18:I$18)</f>
        <v>70</v>
      </c>
      <c r="E6" s="1894">
        <f>IF(B6="","",SUMIF(项目基本情况!C$15:I$15,C6,项目基本情况!C$17:I$17))</f>
        <v>71015</v>
      </c>
      <c r="F6" s="157">
        <f>SUMIF(项目基本情况!C$15:I$15,C6,项目基本情况!C$19:I$19)</f>
        <v>69.58</v>
      </c>
      <c r="G6" s="158">
        <f t="shared" ref="G6:G13" si="0">IF(ISERROR(ROUND(POWER(1+H6,D6-F6)*(POWER(1+H6,F6)-1)/(POWER(1+H6,D6)-1),3)),0,ROUND(POWER(1+H6,D6-F6)*(POWER(1+H6,F6)-1)/(POWER(1+H6,D6)-1),3))</f>
        <v>0.999</v>
      </c>
      <c r="H6" s="2309">
        <v>0.04</v>
      </c>
      <c r="I6" s="2309">
        <v>4.4999999999999998E-2</v>
      </c>
      <c r="J6" s="159">
        <v>7.0000000000000007E-2</v>
      </c>
      <c r="K6" s="162">
        <f>SUMIF('数据-汇总表'!C$19:C$33,'数据-取费表'!A6,'数据-汇总表'!E$19:E$33)</f>
        <v>47623.45</v>
      </c>
      <c r="L6" s="2310">
        <v>7000</v>
      </c>
      <c r="M6" s="160">
        <f t="shared" ref="M6:M14" si="1">ROUND(K6*L6/10000,0)</f>
        <v>33336</v>
      </c>
      <c r="N6" s="2311">
        <v>0</v>
      </c>
      <c r="O6" s="160">
        <f>IF($N$5="成新度","——",ROUND(M6*N6,0))</f>
        <v>0</v>
      </c>
      <c r="P6" s="161">
        <f>IF($N$5="成新度","——",M6-O6)</f>
        <v>33336</v>
      </c>
      <c r="Q6" s="2312">
        <v>0.2</v>
      </c>
      <c r="R6" s="162">
        <f>SUMIF('数据-汇总表'!C$19:C$33,A6,'数据-汇总表'!R$19:R$33)</f>
        <v>15678.57</v>
      </c>
      <c r="S6" s="121">
        <f>IF('数据-汇总表'!$I$17="按面积比例",SUMIF('数据-汇总表'!C$19:C$33,A6,'数据-汇总表'!K$19:K$33),SUMIF('数据-汇总表'!C$19:C$33,A6,'数据-汇总表'!N$19:N$33))</f>
        <v>3588.36</v>
      </c>
      <c r="T6" s="1825">
        <f>IF($T$4="按面积比例",IF(ISERROR(ROUND($M$14*S6/S$16,0)),"0",ROUND($M$14*S6/S$16,0)),"需自行计算录入")</f>
        <v>2153</v>
      </c>
      <c r="U6" s="163"/>
      <c r="V6" s="164"/>
      <c r="W6" s="164"/>
      <c r="X6" s="1906"/>
      <c r="Y6" s="165"/>
      <c r="Z6" s="166"/>
      <c r="AA6" s="159"/>
      <c r="AB6" s="159"/>
      <c r="AC6" s="1909"/>
      <c r="AD6" s="167"/>
      <c r="AE6" s="884">
        <f ca="1">IF(AN6="",0,SUMIF(INDIRECT("'"&amp;AN6&amp;"'"&amp;"!E:E"),$AE$5,INDIRECT("'"&amp;AN6&amp;"'"&amp;"!F:F")))</f>
        <v>0</v>
      </c>
      <c r="AF6" s="126"/>
      <c r="AG6" s="1051">
        <f>IF(AF6="",0,AE6-AF6)</f>
        <v>0</v>
      </c>
      <c r="AH6" s="126"/>
      <c r="AI6" s="170"/>
      <c r="AJ6" s="126"/>
      <c r="AK6" s="171"/>
      <c r="AL6" s="172"/>
      <c r="AM6" s="2320"/>
      <c r="AN6" s="1122"/>
      <c r="AO6" s="2608"/>
      <c r="AP6" s="95">
        <f>ROUND(1-1/(1+H6)^F6,3)</f>
        <v>0.93500000000000005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地下仓储</v>
      </c>
      <c r="B7" s="1922" t="str">
        <f t="shared" ref="B7:B13" si="2">IF(A7=0,"","经营性")</f>
        <v>经营性</v>
      </c>
      <c r="C7" s="156" t="s">
        <v>2732</v>
      </c>
      <c r="D7" s="1893">
        <f>SUMIF(项目基本情况!C$15:I$15,C7,项目基本情况!C$18:I$18)</f>
        <v>50</v>
      </c>
      <c r="E7" s="1894">
        <f>IF(B7="","",SUMIF(项目基本情况!C$15:I$15,C7,项目基本情况!C$17:I$17))</f>
        <v>63710</v>
      </c>
      <c r="F7" s="157">
        <f>SUMIF(项目基本情况!C$15:I$15,C7,项目基本情况!C$19:I$19)</f>
        <v>49.57</v>
      </c>
      <c r="G7" s="158">
        <f t="shared" si="0"/>
        <v>0.998</v>
      </c>
      <c r="H7" s="2309">
        <v>4.4999999999999998E-2</v>
      </c>
      <c r="I7" s="2309">
        <v>0.05</v>
      </c>
      <c r="J7" s="159">
        <v>7.0000000000000007E-2</v>
      </c>
      <c r="K7" s="162">
        <f>SUMIF('数据-汇总表'!C$19:C$33,'数据-取费表'!A7,'数据-汇总表'!E$19:E$33)</f>
        <v>3496.29</v>
      </c>
      <c r="L7" s="2310">
        <v>6000</v>
      </c>
      <c r="M7" s="160">
        <f t="shared" si="1"/>
        <v>2098</v>
      </c>
      <c r="N7" s="2311">
        <v>0</v>
      </c>
      <c r="O7" s="160">
        <f t="shared" ref="O7:O14" si="3">IF($N$5="成新度","——",ROUND(M7*N7,0))</f>
        <v>0</v>
      </c>
      <c r="P7" s="161">
        <f t="shared" ref="P7:P14" si="4">IF($N$5="成新度","——",M7-O7)</f>
        <v>2098</v>
      </c>
      <c r="Q7" s="2312">
        <v>0.05</v>
      </c>
      <c r="R7" s="162">
        <f>SUMIF('数据-汇总表'!C$19:C$33,A7,'数据-汇总表'!R$19:R$33)</f>
        <v>1129.8300000000002</v>
      </c>
      <c r="S7" s="121">
        <f>IF('数据-汇总表'!$I$17="按面积比例",SUMIF('数据-汇总表'!C$19:C$33,A7,'数据-汇总表'!K$19:K$33),SUMIF('数据-汇总表'!C$19:C$33,A7,'数据-汇总表'!N$19:N$33))</f>
        <v>263.44</v>
      </c>
      <c r="T7" s="1825">
        <f t="shared" ref="T7:T13" si="5">IF($T$4="按面积比例",IF(ISERROR(ROUND($M$14*S7/S$16,0)),"0",ROUND($M$14*S7/S$16,0)),"需自行计算录入")</f>
        <v>158</v>
      </c>
      <c r="U7" s="163"/>
      <c r="V7" s="164"/>
      <c r="W7" s="164"/>
      <c r="X7" s="1906"/>
      <c r="Y7" s="165"/>
      <c r="Z7" s="166"/>
      <c r="AA7" s="159"/>
      <c r="AB7" s="159"/>
      <c r="AC7" s="1909"/>
      <c r="AD7" s="167"/>
      <c r="AE7" s="884">
        <f t="shared" ref="AE7:AE13" ca="1" si="6">IF(AN7="",0,SUMIF(INDIRECT("'"&amp;AN7&amp;"'"&amp;"!E:E"),$AE$5,INDIRECT("'"&amp;AN7&amp;"'"&amp;"!F:F")))</f>
        <v>0</v>
      </c>
      <c r="AF7" s="126"/>
      <c r="AG7" s="1051">
        <f t="shared" ref="AG7:AG13" si="7">IF(AF7="",0,AE7-AF7)</f>
        <v>0</v>
      </c>
      <c r="AH7" s="126"/>
      <c r="AI7" s="170"/>
      <c r="AJ7" s="126"/>
      <c r="AK7" s="171"/>
      <c r="AL7" s="172"/>
      <c r="AM7" s="2320"/>
      <c r="AN7" s="1122"/>
      <c r="AO7" s="2608"/>
      <c r="AP7" s="95">
        <f t="shared" ref="AP7:AP13" si="8">ROUND(1-1/(1+H7)^F7,3)</f>
        <v>0.88700000000000001</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6" t="s">
        <v>2731</v>
      </c>
      <c r="D8" s="1893">
        <f>SUMIF(项目基本情况!C$15:I$15,C8,项目基本情况!C$18:I$18)</f>
        <v>50</v>
      </c>
      <c r="E8" s="1894">
        <f>IF(B8="","",SUMIF(项目基本情况!C$15:I$15,C8,项目基本情况!C$17:I$17))</f>
        <v>63710</v>
      </c>
      <c r="F8" s="157">
        <f>SUMIF(项目基本情况!C$15:I$15,C8,项目基本情况!C$19:I$19)</f>
        <v>49.57</v>
      </c>
      <c r="G8" s="158">
        <f t="shared" si="0"/>
        <v>0.998</v>
      </c>
      <c r="H8" s="2309">
        <v>4.4999999999999998E-2</v>
      </c>
      <c r="I8" s="2309">
        <v>0.05</v>
      </c>
      <c r="J8" s="2309">
        <v>7.0000000000000007E-2</v>
      </c>
      <c r="K8" s="162">
        <f>SUMIF('数据-汇总表'!C$19:C$33,'数据-取费表'!A8,'数据-汇总表'!E$19:E$33)</f>
        <v>15515.510000000002</v>
      </c>
      <c r="L8" s="2310">
        <f>L7</f>
        <v>6000</v>
      </c>
      <c r="M8" s="160">
        <f>ROUND(K8*L8/10000,0)</f>
        <v>9309</v>
      </c>
      <c r="N8" s="2311">
        <v>0</v>
      </c>
      <c r="O8" s="160">
        <f t="shared" si="3"/>
        <v>0</v>
      </c>
      <c r="P8" s="161">
        <f t="shared" si="4"/>
        <v>9309</v>
      </c>
      <c r="Q8" s="2312">
        <v>0.05</v>
      </c>
      <c r="R8" s="162">
        <f>SUMIF('数据-汇总表'!C$19:C$33,A8,'数据-汇总表'!R$19:R$33)</f>
        <v>5013.8200000000006</v>
      </c>
      <c r="S8" s="121">
        <f>IF('数据-汇总表'!$I$17="按面积比例",SUMIF('数据-汇总表'!C$19:C$33,A8,'数据-汇总表'!K$19:K$33),SUMIF('数据-汇总表'!C$19:C$33,A8,'数据-汇总表'!N$19:N$33))</f>
        <v>1169.07</v>
      </c>
      <c r="T8" s="1825">
        <f t="shared" si="5"/>
        <v>702</v>
      </c>
      <c r="U8" s="163"/>
      <c r="V8" s="164"/>
      <c r="W8" s="164"/>
      <c r="X8" s="1906"/>
      <c r="Y8" s="165"/>
      <c r="Z8" s="166"/>
      <c r="AA8" s="159"/>
      <c r="AB8" s="159"/>
      <c r="AC8" s="1909"/>
      <c r="AD8" s="167"/>
      <c r="AE8" s="884">
        <f t="shared" ca="1" si="6"/>
        <v>0</v>
      </c>
      <c r="AF8" s="126"/>
      <c r="AG8" s="1051">
        <f t="shared" si="7"/>
        <v>0</v>
      </c>
      <c r="AH8" s="126">
        <f>信息及取费!M34</f>
        <v>296</v>
      </c>
      <c r="AI8" s="170"/>
      <c r="AJ8" s="126"/>
      <c r="AK8" s="171"/>
      <c r="AL8" s="172"/>
      <c r="AM8" s="2320"/>
      <c r="AN8" s="1122"/>
      <c r="AO8" s="2608"/>
      <c r="AP8" s="95">
        <f t="shared" si="8"/>
        <v>0.88700000000000001</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f>'数据-汇总表'!C22</f>
        <v>0</v>
      </c>
      <c r="B9" s="1922" t="str">
        <f t="shared" si="2"/>
        <v/>
      </c>
      <c r="C9" s="156"/>
      <c r="D9" s="1893">
        <f>SUMIF(项目基本情况!C$15:I$15,C9,项目基本情况!C$18:I$18)</f>
        <v>0</v>
      </c>
      <c r="E9" s="1894"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0"/>
      <c r="M9" s="160">
        <f t="shared" si="1"/>
        <v>0</v>
      </c>
      <c r="N9" s="2311">
        <v>0</v>
      </c>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5">
        <f t="shared" si="5"/>
        <v>0</v>
      </c>
      <c r="U9" s="163"/>
      <c r="V9" s="164"/>
      <c r="W9" s="164"/>
      <c r="X9" s="1906"/>
      <c r="Y9" s="165"/>
      <c r="Z9" s="166"/>
      <c r="AA9" s="159"/>
      <c r="AB9" s="159"/>
      <c r="AC9" s="1909"/>
      <c r="AD9" s="167"/>
      <c r="AE9" s="884">
        <f t="shared" ca="1" si="6"/>
        <v>0</v>
      </c>
      <c r="AF9" s="126"/>
      <c r="AG9" s="1051">
        <f t="shared" si="7"/>
        <v>0</v>
      </c>
      <c r="AH9" s="126"/>
      <c r="AI9" s="170"/>
      <c r="AJ9" s="126"/>
      <c r="AK9" s="171"/>
      <c r="AL9" s="172"/>
      <c r="AM9" s="2320"/>
      <c r="AN9" s="1122"/>
      <c r="AO9" s="2608"/>
      <c r="AP9" s="95">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20"/>
      <c r="AN10" s="1122"/>
      <c r="AO10" s="2608"/>
      <c r="AP10" s="95">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20"/>
      <c r="AN11" s="1122"/>
      <c r="AO11" s="2608"/>
      <c r="AP11" s="95">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20"/>
      <c r="AN12" s="1122"/>
      <c r="AO12" s="2608"/>
      <c r="AP12" s="95">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8"/>
      <c r="AP13" s="95">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5020.8700000000008</v>
      </c>
      <c r="L14" s="2310">
        <f>L7</f>
        <v>6000</v>
      </c>
      <c r="M14" s="160">
        <f t="shared" si="1"/>
        <v>3013</v>
      </c>
      <c r="N14" s="2311">
        <v>0</v>
      </c>
      <c r="O14" s="160">
        <f t="shared" si="3"/>
        <v>0</v>
      </c>
      <c r="P14" s="161">
        <f t="shared" si="4"/>
        <v>3013</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961.98200000000008</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0.999</v>
      </c>
      <c r="H16" s="183">
        <f>ROUND(SUMPRODUCT(H6:H13,K6:K13)/SUMPRODUCT((H6:H13&gt;0)*(K6:K13)),3)</f>
        <v>4.1000000000000002E-2</v>
      </c>
      <c r="I16" s="184"/>
      <c r="J16" s="184"/>
      <c r="K16" s="185">
        <f>SUM(K6:K15)</f>
        <v>72618.101999999999</v>
      </c>
      <c r="L16" s="186">
        <f>ROUND(M16*10000/SUM(K6:K14),0)</f>
        <v>6665</v>
      </c>
      <c r="M16" s="186">
        <f>SUM(M6:M14)</f>
        <v>47756</v>
      </c>
      <c r="N16" s="187">
        <f>ROUND(SUMPRODUCT(M6:M14,N6:N14)/M16,3)</f>
        <v>0</v>
      </c>
      <c r="O16" s="186">
        <f>SUM(O6:O14)</f>
        <v>0</v>
      </c>
      <c r="P16" s="186">
        <f>SUM(P6:P14)</f>
        <v>47756</v>
      </c>
      <c r="Q16" s="188">
        <f>ROUND(SUMPRODUCT(Q6:Q13,K6:K13)/SUMPRODUCT((Q6:Q13&gt;0)*(K6:K13)),2)</f>
        <v>0.16</v>
      </c>
      <c r="R16" s="1896">
        <f>SUM(R6:R13)</f>
        <v>21822.22</v>
      </c>
      <c r="S16" s="189">
        <f>SUM(S6:S13)</f>
        <v>5020.87</v>
      </c>
      <c r="T16" s="190">
        <f>IF(SUMIF(T6:T13,"&lt;9E307")=M14,SUMIF(T6:T13,"&lt;9E307"),"有误，请检查")</f>
        <v>3013</v>
      </c>
      <c r="U16" s="191"/>
      <c r="V16" s="192"/>
      <c r="W16" s="192"/>
      <c r="X16" s="195"/>
      <c r="Y16" s="193"/>
      <c r="Z16" s="194"/>
      <c r="AA16" s="192"/>
      <c r="AB16" s="192"/>
      <c r="AC16" s="195"/>
      <c r="AD16" s="195"/>
      <c r="AE16" s="191"/>
      <c r="AF16" s="192"/>
      <c r="AG16" s="193"/>
      <c r="AH16" s="192"/>
      <c r="AI16" s="194"/>
      <c r="AJ16" s="194"/>
      <c r="AK16" s="192"/>
      <c r="AL16" s="192"/>
      <c r="AM16" s="193"/>
      <c r="AN16" s="2608"/>
      <c r="AO16" s="2608"/>
      <c r="AP16" s="95">
        <f>ROUND(SUMPRODUCT(AP6:AP13,K6:K13)/SUMPRODUCT((AP6:AP13&gt;0)*(K6:K13)),3)</f>
        <v>0.92100000000000004</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3"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7" t="s">
        <v>230</v>
      </c>
      <c r="B19" s="198">
        <v>0</v>
      </c>
      <c r="C19" s="2627" t="s">
        <v>2264</v>
      </c>
      <c r="D19" s="2617"/>
      <c r="E19" s="2608"/>
      <c r="F19" s="2608"/>
      <c r="G19" s="2608"/>
      <c r="H19" s="2608"/>
      <c r="I19" s="2608"/>
      <c r="J19" s="2608"/>
      <c r="K19" s="2616"/>
      <c r="L19" s="2616"/>
      <c r="M19" s="2614"/>
      <c r="N19" s="2614" t="s">
        <v>3772</v>
      </c>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9" t="s">
        <v>231</v>
      </c>
      <c r="B20" s="3512">
        <v>2.5</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200">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9" t="s">
        <v>233</v>
      </c>
      <c r="B22" s="202">
        <f>B19+B20</f>
        <v>2.5</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2.5</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5"/>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2"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v>160</v>
      </c>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7">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v>0.03</v>
      </c>
      <c r="C34" s="2630" t="s">
        <v>2255</v>
      </c>
      <c r="D34" s="2631" t="s">
        <v>2261</v>
      </c>
      <c r="E34" s="2614"/>
      <c r="F34" s="2608"/>
      <c r="G34" s="3531">
        <f>'数据-汇总表'!E29*4000/10000</f>
        <v>384.79280000000006</v>
      </c>
      <c r="H34" s="2608">
        <f ca="1">'剩余法-待开发'!C15</f>
        <v>1000</v>
      </c>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200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1.4999999999999999E-2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1.4999999999999999E-2</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4" t="s">
        <v>2279</v>
      </c>
      <c r="B40" s="1989">
        <f ca="1">IF(A40="利息：取LPR",存贷款利率!E2,存贷款利率!E2+C40)</f>
        <v>3.1E-2</v>
      </c>
      <c r="C40" s="2775">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v>0</v>
      </c>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0.03</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1152</v>
      </c>
      <c r="C53" s="2624" t="s">
        <v>2162</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2163</v>
      </c>
      <c r="B54" s="169"/>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2164</v>
      </c>
      <c r="B55" s="169"/>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2165</v>
      </c>
      <c r="B56" s="169"/>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2166</v>
      </c>
      <c r="B57" s="169"/>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2167</v>
      </c>
      <c r="B58" s="169">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2168</v>
      </c>
      <c r="B59" s="169"/>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2169</v>
      </c>
      <c r="B60" s="169"/>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2170</v>
      </c>
      <c r="B61" s="169"/>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2171</v>
      </c>
      <c r="B62" s="169"/>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2172</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629" t="s">
        <v>1198</v>
      </c>
      <c r="B1" s="3630"/>
      <c r="C1" s="3630"/>
      <c r="D1" s="3630"/>
      <c r="E1" s="3630"/>
      <c r="F1" s="3630"/>
      <c r="G1" s="3630"/>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67.5">
      <c r="A3" s="2644" t="s">
        <v>1201</v>
      </c>
      <c r="B3" s="2645" t="s">
        <v>1188</v>
      </c>
      <c r="C3" s="3502" t="s">
        <v>3730</v>
      </c>
      <c r="D3" s="2646"/>
      <c r="E3" s="2647" t="s">
        <v>1201</v>
      </c>
      <c r="F3" s="2648" t="s">
        <v>1189</v>
      </c>
      <c r="G3" s="2649" t="s">
        <v>2177</v>
      </c>
      <c r="H3" s="2643"/>
      <c r="I3" s="2643"/>
      <c r="J3" s="2643"/>
      <c r="K3" s="2643"/>
      <c r="L3" s="2643"/>
      <c r="M3" s="2643"/>
      <c r="N3" s="2643"/>
      <c r="O3" s="2643"/>
      <c r="P3" s="2643"/>
      <c r="Q3" s="2643"/>
    </row>
    <row r="4" spans="1:18" ht="40.5">
      <c r="A4" s="2647"/>
      <c r="B4" s="2650" t="s">
        <v>1202</v>
      </c>
      <c r="C4" s="3503" t="s">
        <v>3696</v>
      </c>
      <c r="D4" s="2646"/>
      <c r="E4" s="2652"/>
      <c r="F4" s="2653" t="s">
        <v>1203</v>
      </c>
      <c r="G4" s="2654" t="s">
        <v>2174</v>
      </c>
      <c r="H4" s="2643"/>
      <c r="I4" s="2643"/>
      <c r="J4" s="2643"/>
      <c r="K4" s="2643"/>
      <c r="L4" s="2643"/>
      <c r="M4" s="2643"/>
      <c r="N4" s="2643"/>
      <c r="O4" s="2643"/>
      <c r="P4" s="2643"/>
      <c r="Q4" s="2643"/>
    </row>
    <row r="5" spans="1:18" ht="54">
      <c r="A5" s="2647"/>
      <c r="B5" s="2650" t="s">
        <v>1204</v>
      </c>
      <c r="C5" s="3503" t="s">
        <v>3697</v>
      </c>
      <c r="D5" s="2646"/>
      <c r="E5" s="2652"/>
      <c r="F5" s="2650" t="s">
        <v>1829</v>
      </c>
      <c r="G5" s="2654" t="s">
        <v>2175</v>
      </c>
      <c r="H5" s="2643"/>
      <c r="I5" s="2643"/>
      <c r="J5" s="2643"/>
      <c r="K5" s="2643"/>
      <c r="L5" s="2643"/>
      <c r="M5" s="2643"/>
      <c r="N5" s="2643"/>
      <c r="O5" s="2643"/>
      <c r="P5" s="2643"/>
      <c r="Q5" s="2643"/>
    </row>
    <row r="6" spans="1:18" ht="53.25" customHeight="1">
      <c r="A6" s="2647"/>
      <c r="B6" s="2650" t="s">
        <v>1190</v>
      </c>
      <c r="C6" s="2654" t="s">
        <v>3693</v>
      </c>
      <c r="D6" s="2646"/>
      <c r="E6" s="2652"/>
      <c r="F6" s="2650" t="s">
        <v>1830</v>
      </c>
      <c r="G6" s="2654" t="s">
        <v>2173</v>
      </c>
      <c r="H6" s="2643"/>
      <c r="I6" s="2643"/>
      <c r="J6" s="2643"/>
      <c r="K6" s="2643"/>
      <c r="L6" s="2643"/>
      <c r="M6" s="2643"/>
      <c r="N6" s="2643"/>
      <c r="O6" s="2643"/>
      <c r="P6" s="2643"/>
      <c r="Q6" s="2643"/>
    </row>
    <row r="7" spans="1:18" ht="27.75" thickBot="1">
      <c r="A7" s="2647"/>
      <c r="B7" s="2650" t="s">
        <v>1829</v>
      </c>
      <c r="C7" s="3504" t="s">
        <v>3698</v>
      </c>
      <c r="D7" s="2655"/>
      <c r="E7" s="2656"/>
      <c r="F7" s="2657" t="s">
        <v>1205</v>
      </c>
      <c r="G7" s="2658" t="s">
        <v>2176</v>
      </c>
      <c r="H7" s="2643"/>
      <c r="I7" s="2643"/>
      <c r="J7" s="2643"/>
      <c r="K7" s="2643"/>
      <c r="L7" s="2643"/>
      <c r="M7" s="2643"/>
      <c r="N7" s="2643"/>
      <c r="O7" s="2643"/>
      <c r="P7" s="2643"/>
      <c r="Q7" s="2643"/>
    </row>
    <row r="8" spans="1:18">
      <c r="A8" s="2647"/>
      <c r="B8" s="2650" t="s">
        <v>1830</v>
      </c>
      <c r="C8" s="2654" t="s">
        <v>3694</v>
      </c>
      <c r="D8" s="2655"/>
      <c r="E8" s="2655"/>
      <c r="F8" s="2659"/>
      <c r="G8" s="2659"/>
      <c r="H8" s="2643"/>
      <c r="I8" s="2643"/>
      <c r="J8" s="2643"/>
      <c r="K8" s="2643"/>
      <c r="L8" s="2643"/>
      <c r="M8" s="2643"/>
      <c r="N8" s="2643"/>
      <c r="O8" s="2643"/>
      <c r="P8" s="2643"/>
      <c r="Q8" s="2643"/>
    </row>
    <row r="9" spans="1:18" ht="27">
      <c r="A9" s="2647"/>
      <c r="B9" s="2650" t="s">
        <v>1191</v>
      </c>
      <c r="C9" s="2651" t="s">
        <v>3695</v>
      </c>
      <c r="D9" s="2646"/>
      <c r="E9" s="2655"/>
      <c r="F9" s="2659"/>
      <c r="G9" s="2659"/>
      <c r="H9" s="2643"/>
      <c r="I9" s="2643"/>
      <c r="J9" s="2643"/>
      <c r="K9" s="2643"/>
      <c r="L9" s="2643"/>
      <c r="M9" s="2643"/>
      <c r="N9" s="2643"/>
      <c r="O9" s="2643"/>
      <c r="P9" s="2643"/>
      <c r="Q9" s="2643"/>
    </row>
    <row r="10" spans="1:18" ht="14.25" thickBot="1">
      <c r="A10" s="2660"/>
      <c r="B10" s="2661" t="s">
        <v>1206</v>
      </c>
      <c r="C10" s="3505" t="s">
        <v>3699</v>
      </c>
      <c r="D10" s="2646"/>
      <c r="E10" s="2646"/>
      <c r="F10" s="2659"/>
      <c r="G10" s="2659"/>
      <c r="J10" s="2663"/>
      <c r="M10" s="2663"/>
      <c r="P10" s="2663"/>
      <c r="R10" s="2662"/>
    </row>
    <row r="11" spans="1:18">
      <c r="A11" s="2664"/>
      <c r="B11" s="2655"/>
      <c r="C11" s="2646"/>
      <c r="D11" s="2646"/>
      <c r="E11" s="2646"/>
      <c r="F11" s="2655"/>
      <c r="G11" s="2655"/>
      <c r="J11" s="2663"/>
      <c r="M11" s="2663"/>
      <c r="P11" s="2663"/>
      <c r="R11" s="2662"/>
    </row>
    <row r="12" spans="1:18" s="2637" customFormat="1" ht="18.75">
      <c r="A12" s="2664"/>
      <c r="B12" s="2655"/>
      <c r="C12" s="2646"/>
      <c r="D12" s="2665"/>
      <c r="E12" s="2646"/>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6"/>
      <c r="E14" s="2672"/>
      <c r="F14" s="2672"/>
      <c r="G14" s="2640" t="s">
        <v>1200</v>
      </c>
    </row>
    <row r="15" spans="1:18" ht="67.5">
      <c r="A15" s="2673" t="s">
        <v>1192</v>
      </c>
      <c r="B15" s="2674" t="s">
        <v>1188</v>
      </c>
      <c r="C15" s="2675" t="str">
        <f>C3</f>
        <v>估价对象周边居住用地比例一般、居住小区规模和社区发展完善程度一般，有永旺家园、六里屯一区、颐和山庄等项目，综合评价居住社区成熟度一般</v>
      </c>
      <c r="D15" s="2646"/>
      <c r="E15" s="2676" t="s">
        <v>1193</v>
      </c>
      <c r="F15" s="2674" t="s">
        <v>1208</v>
      </c>
      <c r="G15" s="2677" t="str">
        <f>G3</f>
        <v>估价对象位于XX开发区，园区建设成熟度XX，产业集聚程度XX</v>
      </c>
    </row>
    <row r="16" spans="1:18" ht="40.5">
      <c r="A16" s="2678"/>
      <c r="B16" s="2679" t="s">
        <v>1202</v>
      </c>
      <c r="C16" s="2680" t="str">
        <f>C4</f>
        <v>周边以住宅配套商业为主，周边商业氛围一般，人流量一般，商业繁华度一般</v>
      </c>
      <c r="D16" s="2646"/>
      <c r="E16" s="2681"/>
      <c r="F16" s="2682" t="s">
        <v>1203</v>
      </c>
      <c r="G16" s="2683" t="str">
        <f>G4</f>
        <v>估价对象周边道路状况、公共交通通达情况、停车便捷程度，综合评价交通便捷度较好</v>
      </c>
    </row>
    <row r="17" spans="1:7" ht="54">
      <c r="A17" s="2678"/>
      <c r="B17" s="2679" t="s">
        <v>1204</v>
      </c>
      <c r="C17" s="2680" t="str">
        <f>C5</f>
        <v>周边办公楼项目较多，有拥有产业园、朗丽兹写字楼、中关村壹号等项目，入驻率较高，办公集聚程度较好</v>
      </c>
      <c r="D17" s="2655"/>
      <c r="E17" s="2681"/>
      <c r="F17" s="2682" t="s">
        <v>1209</v>
      </c>
      <c r="G17" s="2684"/>
    </row>
    <row r="18" spans="1:7" ht="40.5">
      <c r="A18" s="2678"/>
      <c r="B18" s="2682" t="s">
        <v>1190</v>
      </c>
      <c r="C18" s="2683" t="str">
        <f>C6</f>
        <v>估价对象周边道路状况、公共交通通达情况、停车便捷程度，综合评价交通便捷度较好</v>
      </c>
      <c r="D18" s="2655"/>
      <c r="E18" s="2681"/>
      <c r="F18" s="2682" t="s">
        <v>1205</v>
      </c>
      <c r="G18" s="2683" t="str">
        <f>G7</f>
        <v>该园区内是否有污染型企业，绿化情况，卫生条件，整体环境状况判断</v>
      </c>
    </row>
    <row r="19" spans="1:7" ht="27">
      <c r="A19" s="2678"/>
      <c r="B19" s="2682" t="s">
        <v>1194</v>
      </c>
      <c r="C19" s="2684"/>
      <c r="D19" s="2646"/>
      <c r="E19" s="2681"/>
      <c r="F19" s="2650" t="s">
        <v>1829</v>
      </c>
      <c r="G19" s="2683" t="str">
        <f>G5</f>
        <v>估价对象所在区域公共配套设施齐备情况</v>
      </c>
    </row>
    <row r="20" spans="1:7" ht="27">
      <c r="A20" s="2678"/>
      <c r="B20" s="2682" t="s">
        <v>1195</v>
      </c>
      <c r="C20" s="2680" t="str">
        <f>C9</f>
        <v>区域自然环境：；人文环境；综合评价环境状况一般</v>
      </c>
      <c r="D20" s="2655"/>
      <c r="E20" s="2681"/>
      <c r="F20" s="2650" t="s">
        <v>1830</v>
      </c>
      <c r="G20" s="2683" t="str">
        <f>G6</f>
        <v>估价对象所在区域基础设施水平</v>
      </c>
    </row>
    <row r="21" spans="1:7" ht="27">
      <c r="A21" s="2678"/>
      <c r="B21" s="2650" t="s">
        <v>1829</v>
      </c>
      <c r="C21" s="2683" t="str">
        <f>C7</f>
        <v>估价对象所在区域公共配套设施齐备情况一般</v>
      </c>
      <c r="D21" s="2646"/>
      <c r="E21" s="2681"/>
      <c r="F21" s="2682" t="s">
        <v>1196</v>
      </c>
      <c r="G21" s="2685"/>
    </row>
    <row r="22" spans="1:7" ht="14.25">
      <c r="A22" s="2678"/>
      <c r="B22" s="2650" t="s">
        <v>1830</v>
      </c>
      <c r="C22" s="2683" t="str">
        <f>C8</f>
        <v>估价对象所在区域基础设施水平</v>
      </c>
      <c r="D22" s="2646"/>
      <c r="E22" s="2681"/>
      <c r="F22" s="2682" t="s">
        <v>1206</v>
      </c>
      <c r="G22" s="2684"/>
    </row>
    <row r="23" spans="1:7" ht="15" thickBot="1">
      <c r="A23" s="2678"/>
      <c r="B23" s="2682" t="s">
        <v>1196</v>
      </c>
      <c r="C23" s="2685"/>
      <c r="E23" s="2686"/>
      <c r="F23" s="2687" t="s">
        <v>1210</v>
      </c>
      <c r="G23" s="2688"/>
    </row>
    <row r="24" spans="1:7" ht="14.25" thickBot="1">
      <c r="A24" s="2689"/>
      <c r="B24" s="2687" t="s">
        <v>1197</v>
      </c>
      <c r="C24" s="2690" t="str">
        <f>C10</f>
        <v>次干道</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3"/>
  <sheetViews>
    <sheetView tabSelected="1" view="pageBreakPreview" zoomScale="80" zoomScaleNormal="80" zoomScaleSheetLayoutView="80" workbookViewId="0">
      <selection activeCell="B6" sqref="B6"/>
    </sheetView>
  </sheetViews>
  <sheetFormatPr defaultColWidth="14.625" defaultRowHeight="13.5"/>
  <cols>
    <col min="1" max="1" width="24.375" style="2692" customWidth="1"/>
    <col min="2" max="3" width="14.625" style="2692"/>
    <col min="4" max="9" width="14.625" style="2692" customWidth="1"/>
    <col min="10" max="16384" width="14.625" style="2692"/>
  </cols>
  <sheetData>
    <row r="1" spans="1:11" ht="16.5">
      <c r="A1" s="2691" t="s">
        <v>2118</v>
      </c>
      <c r="B1" s="2691">
        <f>SUM(B14:B23)</f>
        <v>336876.68999999994</v>
      </c>
      <c r="C1" s="2698"/>
      <c r="D1" s="2698"/>
      <c r="E1" s="2698"/>
      <c r="F1" s="2698"/>
      <c r="G1" s="2699"/>
      <c r="H1" s="2699"/>
      <c r="I1" s="2699"/>
      <c r="J1" s="2699"/>
    </row>
    <row r="2" spans="1:11" ht="16.5">
      <c r="A2" s="2691" t="s">
        <v>2119</v>
      </c>
      <c r="B2" s="2691">
        <f>SUM(C14:C23)</f>
        <v>89529.799999999988</v>
      </c>
      <c r="C2" s="2698"/>
      <c r="D2" s="2698"/>
      <c r="E2" s="2698"/>
      <c r="F2" s="2698"/>
      <c r="G2" s="2699"/>
      <c r="H2" s="2699"/>
      <c r="I2" s="2699"/>
      <c r="J2" s="2699"/>
    </row>
    <row r="3" spans="1:11" ht="16.5">
      <c r="A3" s="2691" t="s">
        <v>2120</v>
      </c>
      <c r="B3" s="2693">
        <f>项目基本情况!D3</f>
        <v>45616</v>
      </c>
      <c r="C3" s="2698"/>
      <c r="D3" s="2698"/>
      <c r="E3" s="2698"/>
      <c r="F3" s="2698"/>
      <c r="G3" s="2699"/>
      <c r="H3" s="2699"/>
      <c r="I3" s="2699"/>
      <c r="J3" s="2699"/>
    </row>
    <row r="4" spans="1:11" ht="33">
      <c r="A4" s="2691" t="s">
        <v>2121</v>
      </c>
      <c r="B4" s="2691" t="s">
        <v>2122</v>
      </c>
      <c r="C4" s="2691" t="s">
        <v>2123</v>
      </c>
      <c r="D4" s="2691" t="s">
        <v>2124</v>
      </c>
      <c r="E4" s="2698"/>
      <c r="F4" s="2698"/>
      <c r="G4" s="2699"/>
      <c r="H4" s="2699"/>
      <c r="I4" s="2699"/>
      <c r="J4" s="2699"/>
    </row>
    <row r="5" spans="1:11" ht="16.5">
      <c r="A5" s="2691" t="s">
        <v>2125</v>
      </c>
      <c r="B5" s="2691">
        <f ca="1">SUM(D14:D23)</f>
        <v>700991</v>
      </c>
      <c r="C5" s="2691">
        <f ca="1">ROUND(B5*10000/$B$1,0)</f>
        <v>20809</v>
      </c>
      <c r="D5" s="2691">
        <f ca="1">ROUND(B5*10000/$B$2,0)</f>
        <v>78297</v>
      </c>
      <c r="E5" s="2698">
        <f>信息及取费!C5</f>
        <v>791700</v>
      </c>
      <c r="F5" s="2698"/>
      <c r="G5" s="2699"/>
      <c r="H5" s="2699"/>
      <c r="I5" s="2699"/>
      <c r="J5" s="2699"/>
    </row>
    <row r="6" spans="1:11" ht="16.5">
      <c r="A6" s="2691" t="s">
        <v>2126</v>
      </c>
      <c r="B6" s="2691">
        <f ca="1">SUM(G14:G23)</f>
        <v>685522</v>
      </c>
      <c r="C6" s="2691">
        <f ca="1">ROUND(B6*10000/$B$1,0)</f>
        <v>20349</v>
      </c>
      <c r="D6" s="2691">
        <f ca="1">ROUND(B6*10000/$B$2,0)</f>
        <v>76569</v>
      </c>
      <c r="E6" s="2698"/>
      <c r="F6" s="2698"/>
      <c r="G6" s="2699"/>
      <c r="H6" s="2699"/>
      <c r="I6" s="2699"/>
      <c r="J6" s="2699"/>
    </row>
    <row r="7" spans="1:11" ht="16.5">
      <c r="A7" s="2691" t="s">
        <v>2127</v>
      </c>
      <c r="B7" s="2691">
        <f>SUM(H14:H23)</f>
        <v>0</v>
      </c>
      <c r="C7" s="2691">
        <f>ROUND(B7*10000/$B$1,0)</f>
        <v>0</v>
      </c>
      <c r="D7" s="2691">
        <f>ROUND(B7*10000/$B$2,0)</f>
        <v>0</v>
      </c>
      <c r="E7" s="2698"/>
      <c r="F7" s="2698"/>
      <c r="G7" s="2699"/>
      <c r="H7" s="2699"/>
      <c r="I7" s="2699"/>
      <c r="J7" s="2699"/>
    </row>
    <row r="8" spans="1:11" ht="16.5">
      <c r="A8" s="2691" t="s">
        <v>2128</v>
      </c>
      <c r="B8" s="2691">
        <f>SUM(I14:I23)</f>
        <v>0</v>
      </c>
      <c r="C8" s="2691">
        <f>ROUND(B8*10000/$B$1,0)</f>
        <v>0</v>
      </c>
      <c r="D8" s="2691">
        <f>ROUND(B8*10000/$B$2,0)</f>
        <v>0</v>
      </c>
      <c r="E8" s="2698"/>
      <c r="F8" s="2698"/>
      <c r="G8" s="2699"/>
      <c r="H8" s="2699"/>
      <c r="I8" s="2699"/>
      <c r="J8" s="2699"/>
    </row>
    <row r="9" spans="1:11" ht="16.5">
      <c r="A9" s="2691" t="s">
        <v>2129</v>
      </c>
      <c r="B9" s="2324"/>
      <c r="C9" s="2698"/>
      <c r="D9" s="2698"/>
      <c r="E9" s="2698"/>
      <c r="F9" s="2698"/>
      <c r="G9" s="2699"/>
      <c r="H9" s="2699"/>
      <c r="I9" s="2699"/>
      <c r="J9" s="2699"/>
    </row>
    <row r="10" spans="1:11" ht="16.5">
      <c r="A10" s="2691" t="s">
        <v>2130</v>
      </c>
      <c r="B10" s="2324"/>
      <c r="C10" s="2698"/>
      <c r="D10" s="2698"/>
      <c r="E10" s="2698"/>
      <c r="F10" s="2698"/>
      <c r="G10" s="2699"/>
      <c r="H10" s="2699"/>
      <c r="I10" s="2699"/>
      <c r="J10" s="2699"/>
    </row>
    <row r="11" spans="1:11" ht="16.5">
      <c r="A11" s="2691" t="s">
        <v>2142</v>
      </c>
      <c r="B11" s="2324"/>
      <c r="C11" s="2698"/>
      <c r="D11" s="2698"/>
      <c r="E11" s="2698"/>
      <c r="F11" s="2698"/>
      <c r="G11" s="2699"/>
      <c r="H11" s="2699"/>
      <c r="I11" s="2699"/>
      <c r="J11" s="2699"/>
    </row>
    <row r="12" spans="1:11" ht="16.5">
      <c r="A12" s="2698"/>
      <c r="B12" s="2698"/>
      <c r="C12" s="2698"/>
      <c r="D12" s="2698"/>
      <c r="E12" s="2698"/>
      <c r="F12" s="2698"/>
      <c r="G12" s="2699"/>
      <c r="H12" s="2699"/>
      <c r="I12" s="2699"/>
      <c r="J12" s="2699"/>
    </row>
    <row r="13" spans="1:11" ht="33">
      <c r="A13" s="3525" t="s">
        <v>2141</v>
      </c>
      <c r="B13" s="2694" t="s">
        <v>2118</v>
      </c>
      <c r="C13" s="2694" t="s">
        <v>2119</v>
      </c>
      <c r="D13" s="2694" t="s">
        <v>2131</v>
      </c>
      <c r="E13" s="2691" t="s">
        <v>2140</v>
      </c>
      <c r="F13" s="2691" t="s">
        <v>2124</v>
      </c>
      <c r="G13" s="2694" t="s">
        <v>2132</v>
      </c>
      <c r="H13" s="2694" t="s">
        <v>2133</v>
      </c>
      <c r="I13" s="2694" t="s">
        <v>2134</v>
      </c>
      <c r="J13" s="3526" t="s">
        <v>3759</v>
      </c>
      <c r="K13" s="3526" t="s">
        <v>3760</v>
      </c>
    </row>
    <row r="14" spans="1:11" ht="16.5">
      <c r="A14" s="2695" t="s">
        <v>3754</v>
      </c>
      <c r="B14" s="2696">
        <f>结果表!L38</f>
        <v>72618.101999999999</v>
      </c>
      <c r="C14" s="2696">
        <f>结果表!K38</f>
        <v>21822.21</v>
      </c>
      <c r="D14" s="2696">
        <f ca="1">结果表!O38</f>
        <v>277389</v>
      </c>
      <c r="E14" s="2696">
        <f ca="1">ROUND(D14*10000/B14,0)</f>
        <v>38198</v>
      </c>
      <c r="F14" s="2696">
        <f ca="1">ROUND(D14*10000/C14,0)</f>
        <v>127113</v>
      </c>
      <c r="G14" s="2696">
        <f ca="1">结果表!O39</f>
        <v>274410</v>
      </c>
      <c r="H14" s="2696"/>
      <c r="I14" s="2696"/>
      <c r="J14" s="2696">
        <v>282000</v>
      </c>
      <c r="K14" s="2696">
        <v>278000</v>
      </c>
    </row>
    <row r="15" spans="1:11" ht="16.5">
      <c r="A15" s="2695" t="s">
        <v>3755</v>
      </c>
      <c r="B15" s="2696">
        <f>[5]系统读取表!$B$14</f>
        <v>74854.227999999988</v>
      </c>
      <c r="C15" s="2696">
        <f>[5]系统读取表!$C$14</f>
        <v>23016.240000000002</v>
      </c>
      <c r="D15" s="2696">
        <f ca="1">[5]系统读取表!$D$14</f>
        <v>291748</v>
      </c>
      <c r="E15" s="2696">
        <f t="shared" ref="E15:E23" ca="1" si="0">ROUND(D15*10000/B15,0)</f>
        <v>38975</v>
      </c>
      <c r="F15" s="2696">
        <f t="shared" ref="F15:F23" ca="1" si="1">ROUND(D15*10000/C15,0)</f>
        <v>126757</v>
      </c>
      <c r="G15" s="2324">
        <f ca="1">[5]系统读取表!$G$14</f>
        <v>289026</v>
      </c>
      <c r="H15" s="2324"/>
      <c r="I15" s="2697"/>
      <c r="J15" s="2696">
        <v>297000</v>
      </c>
      <c r="K15" s="2696">
        <v>293700</v>
      </c>
    </row>
    <row r="16" spans="1:11" ht="16.5">
      <c r="A16" s="2695" t="s">
        <v>3756</v>
      </c>
      <c r="B16" s="2696">
        <f>[11]系统读取表!$B$14</f>
        <v>81552.06</v>
      </c>
      <c r="C16" s="2696">
        <f>[11]系统读取表!$C$14</f>
        <v>20510.68</v>
      </c>
      <c r="D16" s="2696">
        <f ca="1">[11]系统读取表!$D$14</f>
        <v>43709</v>
      </c>
      <c r="E16" s="2696">
        <f t="shared" ca="1" si="0"/>
        <v>5360</v>
      </c>
      <c r="F16" s="2696">
        <f t="shared" ca="1" si="1"/>
        <v>21310</v>
      </c>
      <c r="G16" s="2324">
        <f ca="1">[11]系统读取表!$G$14</f>
        <v>41049</v>
      </c>
      <c r="H16" s="2324"/>
      <c r="I16" s="2697"/>
      <c r="J16" s="2696">
        <v>59000</v>
      </c>
      <c r="K16" s="2696">
        <v>57900</v>
      </c>
    </row>
    <row r="17" spans="1:11" ht="16.5">
      <c r="A17" s="2695" t="s">
        <v>3757</v>
      </c>
      <c r="B17" s="2696">
        <f>[6]系统读取表!$B$14</f>
        <v>107852.29999999999</v>
      </c>
      <c r="C17" s="2696">
        <f>[6]系统读取表!$C$14</f>
        <v>24180.67</v>
      </c>
      <c r="D17" s="2696">
        <f ca="1">[6]系统读取表!$D$14</f>
        <v>88145</v>
      </c>
      <c r="E17" s="2696">
        <f t="shared" ca="1" si="0"/>
        <v>8173</v>
      </c>
      <c r="F17" s="2696">
        <f t="shared" ca="1" si="1"/>
        <v>36453</v>
      </c>
      <c r="G17" s="2696">
        <f ca="1">[6]系统读取表!$G$14</f>
        <v>81037</v>
      </c>
      <c r="H17" s="2696"/>
      <c r="I17" s="2696"/>
      <c r="J17" s="2696">
        <v>110000</v>
      </c>
      <c r="K17" s="2696">
        <v>105759</v>
      </c>
    </row>
    <row r="18" spans="1:11" ht="16.5">
      <c r="A18" s="2695" t="s">
        <v>3758</v>
      </c>
      <c r="B18" s="2697"/>
      <c r="C18" s="2697"/>
      <c r="D18" s="2697"/>
      <c r="E18" s="2324" t="e">
        <f t="shared" si="0"/>
        <v>#DIV/0!</v>
      </c>
      <c r="F18" s="2324" t="e">
        <f t="shared" si="1"/>
        <v>#DIV/0!</v>
      </c>
      <c r="G18" s="2697"/>
      <c r="H18" s="2697"/>
      <c r="I18" s="2697"/>
      <c r="J18" s="2324">
        <f>J14+J15+J16+J17</f>
        <v>748000</v>
      </c>
      <c r="K18" s="2324">
        <f>K14+K15+K16+K17</f>
        <v>735359</v>
      </c>
    </row>
    <row r="19" spans="1:11" ht="16.5">
      <c r="A19" s="3527" t="s">
        <v>2135</v>
      </c>
      <c r="B19" s="3528"/>
      <c r="C19" s="3528"/>
      <c r="D19" s="3528"/>
      <c r="E19" s="3529" t="e">
        <f t="shared" si="0"/>
        <v>#DIV/0!</v>
      </c>
      <c r="F19" s="3529" t="e">
        <f t="shared" si="1"/>
        <v>#DIV/0!</v>
      </c>
      <c r="G19" s="3528"/>
      <c r="H19" s="3528"/>
      <c r="I19" s="3528"/>
      <c r="J19" s="3528"/>
    </row>
    <row r="20" spans="1:11" ht="16.5">
      <c r="A20" s="2695" t="s">
        <v>2136</v>
      </c>
      <c r="B20" s="2697"/>
      <c r="C20" s="2697"/>
      <c r="D20" s="2697"/>
      <c r="E20" s="2696" t="e">
        <f t="shared" si="0"/>
        <v>#DIV/0!</v>
      </c>
      <c r="F20" s="2696" t="e">
        <f t="shared" si="1"/>
        <v>#DIV/0!</v>
      </c>
      <c r="G20" s="2697"/>
      <c r="H20" s="2697"/>
      <c r="I20" s="2697"/>
      <c r="J20" s="2697"/>
    </row>
    <row r="21" spans="1:11" ht="16.5">
      <c r="A21" s="2695" t="s">
        <v>2137</v>
      </c>
      <c r="B21" s="2697"/>
      <c r="C21" s="2697"/>
      <c r="D21" s="2697"/>
      <c r="E21" s="2696" t="e">
        <f t="shared" si="0"/>
        <v>#DIV/0!</v>
      </c>
      <c r="F21" s="2696" t="e">
        <f t="shared" si="1"/>
        <v>#DIV/0!</v>
      </c>
      <c r="G21" s="2697"/>
      <c r="H21" s="2697"/>
      <c r="I21" s="2697"/>
      <c r="J21" s="2697"/>
    </row>
    <row r="22" spans="1:11" ht="16.5">
      <c r="A22" s="2695" t="s">
        <v>2138</v>
      </c>
      <c r="B22" s="2697"/>
      <c r="C22" s="2697"/>
      <c r="D22" s="2697"/>
      <c r="E22" s="2696" t="e">
        <f t="shared" si="0"/>
        <v>#DIV/0!</v>
      </c>
      <c r="F22" s="2696" t="e">
        <f t="shared" si="1"/>
        <v>#DIV/0!</v>
      </c>
      <c r="G22" s="2697"/>
      <c r="H22" s="2697"/>
      <c r="I22" s="2697"/>
      <c r="J22" s="2697"/>
    </row>
    <row r="23" spans="1:11" ht="16.5">
      <c r="A23" s="2695" t="s">
        <v>2139</v>
      </c>
      <c r="B23" s="2697"/>
      <c r="C23" s="2697"/>
      <c r="D23" s="2697"/>
      <c r="E23" s="2324" t="e">
        <f t="shared" si="0"/>
        <v>#DIV/0!</v>
      </c>
      <c r="F23" s="2324" t="e">
        <f t="shared" si="1"/>
        <v>#DIV/0!</v>
      </c>
      <c r="G23" s="2697"/>
      <c r="H23" s="2697"/>
      <c r="I23" s="2697"/>
      <c r="J23" s="2697"/>
    </row>
    <row r="24" spans="1:11">
      <c r="A24" s="2699"/>
      <c r="B24" s="2699"/>
      <c r="C24" s="2699"/>
      <c r="D24" s="2699"/>
      <c r="E24" s="2699"/>
      <c r="F24" s="2699"/>
      <c r="G24" s="2699"/>
      <c r="H24" s="2699"/>
      <c r="I24" s="2699"/>
      <c r="J24" s="2699"/>
    </row>
    <row r="25" spans="1:11">
      <c r="A25" s="2699"/>
      <c r="B25" s="2699"/>
      <c r="C25" s="2699"/>
      <c r="D25" s="2699"/>
      <c r="E25" s="2699"/>
      <c r="F25" s="2699"/>
      <c r="G25" s="2699"/>
      <c r="H25" s="2699"/>
      <c r="I25" s="2699"/>
      <c r="J25" s="2699"/>
    </row>
    <row r="26" spans="1:11">
      <c r="A26" s="2699"/>
      <c r="B26" s="2699"/>
      <c r="C26" s="2699"/>
      <c r="D26" s="2699"/>
      <c r="E26" s="2699"/>
      <c r="F26" s="2699"/>
      <c r="G26" s="2699"/>
      <c r="H26" s="2699"/>
      <c r="I26" s="2699"/>
      <c r="J26" s="2699"/>
    </row>
    <row r="27" spans="1:11">
      <c r="B27" s="3530" t="s">
        <v>3764</v>
      </c>
      <c r="C27" s="3530" t="s">
        <v>3761</v>
      </c>
      <c r="D27" s="3530" t="s">
        <v>3762</v>
      </c>
      <c r="E27" s="3530" t="s">
        <v>3763</v>
      </c>
    </row>
    <row r="28" spans="1:11">
      <c r="A28" s="2692" t="str">
        <f>A14</f>
        <v>0058地块</v>
      </c>
      <c r="C28" s="2692">
        <f>结果表!B37</f>
        <v>3546.75</v>
      </c>
      <c r="D28" s="3530">
        <f>结果表!B38</f>
        <v>15515.510000000002</v>
      </c>
      <c r="E28" s="2692">
        <f>结果表!G35</f>
        <v>2979</v>
      </c>
    </row>
    <row r="29" spans="1:11">
      <c r="A29" s="2692" t="str">
        <f>A15</f>
        <v>0072地块</v>
      </c>
      <c r="C29" s="2692">
        <f>[7]结果表!$B$37</f>
        <v>1544.06</v>
      </c>
      <c r="D29" s="2692">
        <f>[7]结果表!$B$38</f>
        <v>17008.370000000003</v>
      </c>
      <c r="E29" s="2692">
        <f>[7]结果表!$G$35</f>
        <v>2722</v>
      </c>
    </row>
    <row r="30" spans="1:11">
      <c r="A30" s="2692" t="str">
        <f>A16</f>
        <v>0055地块</v>
      </c>
      <c r="B30" s="2692">
        <f>[8]结果表!$B$39</f>
        <v>1982.44</v>
      </c>
      <c r="C30" s="2692">
        <f>[8]结果表!$B$37</f>
        <v>0</v>
      </c>
      <c r="D30" s="2692">
        <f>[8]结果表!$B$38</f>
        <v>11204.280000000002</v>
      </c>
      <c r="E30" s="2692">
        <f>[8]结果表!$G$35</f>
        <v>2660</v>
      </c>
    </row>
    <row r="31" spans="1:11">
      <c r="A31" s="2692" t="str">
        <f>A17</f>
        <v>0064地块</v>
      </c>
      <c r="B31" s="2692">
        <f>[9]结果表!$B$39</f>
        <v>9323.9699999999993</v>
      </c>
      <c r="C31" s="2692">
        <f>[9]结果表!$B$37</f>
        <v>0</v>
      </c>
      <c r="D31" s="2692">
        <f>[9]结果表!$B$38</f>
        <v>13842.479999999998</v>
      </c>
      <c r="E31" s="2692">
        <f>[9]结果表!$G$35</f>
        <v>7108</v>
      </c>
    </row>
    <row r="32" spans="1:11">
      <c r="B32" s="2692">
        <f>B28+B29+B30+B31</f>
        <v>11306.41</v>
      </c>
      <c r="C32" s="2692">
        <f>C28+C29+C30+C31</f>
        <v>5090.8099999999995</v>
      </c>
      <c r="D32" s="2692">
        <f>D28+D29+D30+D31</f>
        <v>57570.64</v>
      </c>
      <c r="E32" s="2692">
        <f>E28+E29+E30+E31</f>
        <v>15469</v>
      </c>
    </row>
    <row r="33" spans="4:4">
      <c r="D33" s="2692">
        <f>B32+C32+D32</f>
        <v>73967.86</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I22" zoomScaleNormal="100" zoomScaleSheetLayoutView="100" zoomScalePageLayoutView="80" workbookViewId="0">
      <selection activeCell="O39" sqref="O39"/>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3750</v>
      </c>
      <c r="E1" s="1497" t="s">
        <v>1575</v>
      </c>
      <c r="F1" s="1499" t="s">
        <v>3751</v>
      </c>
      <c r="G1" s="286"/>
      <c r="H1" s="286"/>
      <c r="I1" s="286"/>
      <c r="J1" s="1634"/>
      <c r="K1" s="1634"/>
      <c r="L1" s="1634"/>
      <c r="M1" s="1634"/>
      <c r="N1" s="1634"/>
      <c r="O1" s="1634"/>
      <c r="P1" s="1634"/>
      <c r="Q1" s="1634"/>
      <c r="R1" s="1634"/>
      <c r="S1" s="1634"/>
      <c r="T1" s="1634"/>
      <c r="U1" s="1634"/>
      <c r="V1" s="1634"/>
    </row>
    <row r="2" spans="1:22" ht="21.75" customHeight="1" thickBot="1">
      <c r="A2" s="3675" t="str">
        <f>项目基本情况!K2</f>
        <v>北京市海淀区西北旺镇永丰产业基地出让国有建设用地使用权</v>
      </c>
      <c r="B2" s="3676"/>
      <c r="C2" s="3677"/>
      <c r="D2" s="3677"/>
      <c r="E2" s="3677"/>
      <c r="F2" s="3677"/>
      <c r="G2" s="3676"/>
      <c r="H2" s="3676"/>
      <c r="I2" s="3678"/>
      <c r="J2" s="1641"/>
      <c r="K2" s="1634"/>
      <c r="L2" s="1634"/>
      <c r="M2" s="1634"/>
      <c r="N2" s="1634"/>
      <c r="O2" s="1634"/>
      <c r="P2" s="1634"/>
      <c r="Q2" s="1634"/>
      <c r="R2" s="1634"/>
      <c r="S2" s="1634"/>
      <c r="T2" s="1634"/>
      <c r="U2" s="1634"/>
      <c r="V2" s="1634"/>
    </row>
    <row r="3" spans="1:22" ht="14.25">
      <c r="A3" s="3686" t="s">
        <v>264</v>
      </c>
      <c r="B3" s="3687"/>
      <c r="C3" s="3687"/>
      <c r="D3" s="3687"/>
      <c r="E3" s="3687"/>
      <c r="F3" s="3687"/>
      <c r="G3" s="3687"/>
      <c r="H3" s="3687"/>
      <c r="I3" s="3687"/>
      <c r="J3" s="1641"/>
      <c r="K3" s="1634"/>
      <c r="L3" s="1634"/>
      <c r="M3" s="1634"/>
      <c r="N3" s="1634"/>
      <c r="O3" s="1634"/>
      <c r="P3" s="1634"/>
      <c r="Q3" s="1634"/>
      <c r="R3" s="1634"/>
      <c r="S3" s="1634"/>
      <c r="T3" s="1634"/>
      <c r="U3" s="1634"/>
      <c r="V3" s="1634"/>
    </row>
    <row r="4" spans="1:22" ht="14.25">
      <c r="A4" s="237" t="s">
        <v>265</v>
      </c>
      <c r="B4" s="238" t="s">
        <v>266</v>
      </c>
      <c r="C4" s="239" t="s">
        <v>3752</v>
      </c>
      <c r="D4" s="239" t="s">
        <v>3753</v>
      </c>
      <c r="E4" s="3650" t="s">
        <v>267</v>
      </c>
      <c r="F4" s="3692"/>
      <c r="G4" s="3692"/>
      <c r="H4" s="3692"/>
      <c r="I4" s="3651"/>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79" t="s">
        <v>268</v>
      </c>
      <c r="B5" s="3680">
        <v>25</v>
      </c>
      <c r="C5" s="3688"/>
      <c r="D5" s="3691"/>
      <c r="E5" s="240" t="s">
        <v>269</v>
      </c>
      <c r="F5" s="241"/>
      <c r="G5" s="241"/>
      <c r="H5" s="241"/>
      <c r="I5" s="242"/>
      <c r="J5" s="1641"/>
      <c r="K5" s="1634"/>
      <c r="L5" s="1634"/>
      <c r="M5" s="1634"/>
      <c r="N5" s="1634"/>
      <c r="O5" s="1634"/>
      <c r="P5" s="1634"/>
      <c r="Q5" s="1634"/>
      <c r="R5" s="1634"/>
      <c r="S5" s="1634"/>
      <c r="T5" s="1634"/>
      <c r="U5" s="1634"/>
      <c r="V5" s="1634"/>
    </row>
    <row r="6" spans="1:22" ht="14.25">
      <c r="A6" s="3679"/>
      <c r="B6" s="3680"/>
      <c r="C6" s="3689"/>
      <c r="D6" s="3691"/>
      <c r="E6" s="240" t="s">
        <v>270</v>
      </c>
      <c r="F6" s="241"/>
      <c r="G6" s="241"/>
      <c r="H6" s="241"/>
      <c r="I6" s="242"/>
      <c r="J6" s="1641"/>
      <c r="K6" s="1634"/>
      <c r="L6" s="1634"/>
      <c r="M6" s="1634"/>
      <c r="N6" s="1634"/>
      <c r="O6" s="1634"/>
      <c r="P6" s="1634"/>
      <c r="Q6" s="1634"/>
      <c r="R6" s="1634"/>
      <c r="S6" s="1634"/>
      <c r="T6" s="1634"/>
      <c r="U6" s="1634"/>
      <c r="V6" s="1634"/>
    </row>
    <row r="7" spans="1:22" ht="14.25">
      <c r="A7" s="3679"/>
      <c r="B7" s="3680"/>
      <c r="C7" s="3690"/>
      <c r="D7" s="3691"/>
      <c r="E7" s="240" t="s">
        <v>271</v>
      </c>
      <c r="F7" s="241"/>
      <c r="G7" s="241"/>
      <c r="H7" s="241"/>
      <c r="I7" s="242"/>
      <c r="J7" s="1641"/>
      <c r="K7" s="1634"/>
      <c r="L7" s="1634"/>
      <c r="M7" s="1634"/>
      <c r="N7" s="1634"/>
      <c r="O7" s="1634"/>
      <c r="P7" s="1634"/>
      <c r="Q7" s="1634"/>
      <c r="R7" s="1634"/>
      <c r="S7" s="1634"/>
      <c r="T7" s="1634"/>
      <c r="U7" s="1634"/>
      <c r="V7" s="1634"/>
    </row>
    <row r="8" spans="1:22" ht="14.25">
      <c r="A8" s="3679" t="s">
        <v>272</v>
      </c>
      <c r="B8" s="3680">
        <v>15</v>
      </c>
      <c r="C8" s="3688"/>
      <c r="D8" s="3691"/>
      <c r="E8" s="240" t="s">
        <v>273</v>
      </c>
      <c r="F8" s="241"/>
      <c r="G8" s="241"/>
      <c r="H8" s="241"/>
      <c r="I8" s="242"/>
      <c r="J8" s="1641"/>
      <c r="K8" s="1634"/>
      <c r="L8" s="1634"/>
      <c r="M8" s="1634"/>
      <c r="N8" s="1634"/>
      <c r="O8" s="1634"/>
      <c r="P8" s="1634"/>
      <c r="Q8" s="1634"/>
      <c r="R8" s="1634"/>
      <c r="S8" s="1634"/>
      <c r="T8" s="1634"/>
      <c r="U8" s="1634"/>
      <c r="V8" s="1634"/>
    </row>
    <row r="9" spans="1:22" ht="14.25">
      <c r="A9" s="3679"/>
      <c r="B9" s="3680"/>
      <c r="C9" s="3690"/>
      <c r="D9" s="3691"/>
      <c r="E9" s="240" t="s">
        <v>274</v>
      </c>
      <c r="F9" s="241"/>
      <c r="G9" s="241"/>
      <c r="H9" s="241"/>
      <c r="I9" s="242"/>
      <c r="J9" s="1641"/>
      <c r="K9" s="1634"/>
      <c r="L9" s="1634"/>
      <c r="M9" s="1634"/>
      <c r="N9" s="1634"/>
      <c r="O9" s="1634"/>
      <c r="P9" s="1634"/>
      <c r="Q9" s="1634"/>
      <c r="R9" s="1634"/>
      <c r="S9" s="1634"/>
      <c r="T9" s="1634"/>
      <c r="U9" s="1634"/>
      <c r="V9" s="1634"/>
    </row>
    <row r="10" spans="1:22" ht="14.25">
      <c r="A10" s="3679" t="s">
        <v>275</v>
      </c>
      <c r="B10" s="3680">
        <v>15</v>
      </c>
      <c r="C10" s="3688"/>
      <c r="D10" s="3691"/>
      <c r="E10" s="240" t="s">
        <v>276</v>
      </c>
      <c r="F10" s="241"/>
      <c r="G10" s="241"/>
      <c r="H10" s="241"/>
      <c r="I10" s="242"/>
      <c r="J10" s="1641"/>
      <c r="K10" s="1634"/>
      <c r="L10" s="1634"/>
      <c r="M10" s="1634"/>
      <c r="N10" s="1634"/>
      <c r="O10" s="1634"/>
      <c r="P10" s="1634"/>
      <c r="Q10" s="1634"/>
      <c r="R10" s="1634"/>
      <c r="S10" s="1634"/>
      <c r="T10" s="1634"/>
      <c r="U10" s="1634"/>
      <c r="V10" s="1634"/>
    </row>
    <row r="11" spans="1:22" ht="14.25">
      <c r="A11" s="3679"/>
      <c r="B11" s="3680"/>
      <c r="C11" s="3690"/>
      <c r="D11" s="3691"/>
      <c r="E11" s="240" t="s">
        <v>277</v>
      </c>
      <c r="F11" s="241"/>
      <c r="G11" s="241"/>
      <c r="H11" s="241"/>
      <c r="I11" s="242"/>
      <c r="J11" s="1641"/>
      <c r="K11" s="1634"/>
      <c r="L11" s="1634"/>
      <c r="M11" s="1634"/>
      <c r="N11" s="1634"/>
      <c r="O11" s="1634"/>
      <c r="P11" s="1634"/>
      <c r="Q11" s="1634"/>
      <c r="R11" s="1634"/>
      <c r="S11" s="1634"/>
      <c r="T11" s="1634"/>
      <c r="U11" s="1634"/>
      <c r="V11" s="1634"/>
    </row>
    <row r="12" spans="1:22" ht="14.25">
      <c r="A12" s="3679" t="s">
        <v>278</v>
      </c>
      <c r="B12" s="3680">
        <v>15</v>
      </c>
      <c r="C12" s="3688"/>
      <c r="D12" s="3691"/>
      <c r="E12" s="240" t="s">
        <v>279</v>
      </c>
      <c r="F12" s="241"/>
      <c r="G12" s="241"/>
      <c r="H12" s="241"/>
      <c r="I12" s="242"/>
      <c r="J12" s="1641"/>
      <c r="K12" s="1634"/>
      <c r="L12" s="1634"/>
      <c r="M12" s="1634"/>
      <c r="N12" s="1634"/>
      <c r="O12" s="1634"/>
      <c r="P12" s="1634"/>
      <c r="Q12" s="1634"/>
      <c r="R12" s="1634"/>
      <c r="S12" s="1634"/>
      <c r="T12" s="1634"/>
      <c r="U12" s="1634"/>
      <c r="V12" s="1634"/>
    </row>
    <row r="13" spans="1:22" ht="14.25">
      <c r="A13" s="3679"/>
      <c r="B13" s="3680"/>
      <c r="C13" s="3690"/>
      <c r="D13" s="3691"/>
      <c r="E13" s="240" t="s">
        <v>280</v>
      </c>
      <c r="F13" s="241"/>
      <c r="G13" s="241"/>
      <c r="H13" s="241"/>
      <c r="I13" s="242"/>
      <c r="J13" s="1641"/>
      <c r="K13" s="1634"/>
      <c r="L13" s="1634"/>
      <c r="M13" s="1634"/>
      <c r="N13" s="1634"/>
      <c r="O13" s="1634"/>
      <c r="P13" s="1634"/>
      <c r="Q13" s="1634"/>
      <c r="R13" s="1634"/>
      <c r="S13" s="1634"/>
      <c r="T13" s="1634"/>
      <c r="U13" s="1634"/>
      <c r="V13" s="1634"/>
    </row>
    <row r="14" spans="1:22" ht="14.25">
      <c r="A14" s="3679" t="s">
        <v>281</v>
      </c>
      <c r="B14" s="3680">
        <v>30</v>
      </c>
      <c r="C14" s="3688">
        <v>5</v>
      </c>
      <c r="D14" s="3691">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79"/>
      <c r="B15" s="3680"/>
      <c r="C15" s="3689"/>
      <c r="D15" s="3691"/>
      <c r="E15" s="240" t="s">
        <v>283</v>
      </c>
      <c r="F15" s="241"/>
      <c r="G15" s="241"/>
      <c r="H15" s="241"/>
      <c r="I15" s="242"/>
      <c r="J15" s="1641"/>
      <c r="K15" s="1634"/>
      <c r="L15" s="1634"/>
      <c r="M15" s="1634"/>
      <c r="N15" s="1634"/>
      <c r="O15" s="1634"/>
      <c r="P15" s="1634"/>
      <c r="Q15" s="1634"/>
      <c r="R15" s="1634"/>
      <c r="S15" s="1634"/>
      <c r="T15" s="1634"/>
      <c r="U15" s="1634"/>
      <c r="V15" s="1634"/>
    </row>
    <row r="16" spans="1:22" ht="14.25">
      <c r="A16" s="3679"/>
      <c r="B16" s="3680"/>
      <c r="C16" s="3690"/>
      <c r="D16" s="3691"/>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93" t="s">
        <v>2245</v>
      </c>
      <c r="F18" s="3694"/>
      <c r="G18" s="3694"/>
      <c r="H18" s="3694"/>
      <c r="I18" s="3694"/>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301127</v>
      </c>
      <c r="D19" s="250">
        <f ca="1">SUMIF(INDIRECT("'"&amp;D4&amp;"'"&amp;"!A:A"),结果表!B19,INDIRECT("'"&amp;D4&amp;"'"&amp;"!B:B"))</f>
        <v>253650</v>
      </c>
      <c r="E19" s="247" t="s">
        <v>289</v>
      </c>
      <c r="F19" s="248" t="s">
        <v>288</v>
      </c>
      <c r="G19" s="251">
        <f ca="1">ROUND(C19*$C$18+D19*$D$18,0)</f>
        <v>277389</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41467</v>
      </c>
      <c r="D20" s="255">
        <f ca="1">SUMIF(INDIRECT("'"&amp;D4&amp;"'"&amp;"!A:A"),结果表!B20,INDIRECT("'"&amp;D4&amp;"'"&amp;"!B:B"))</f>
        <v>34929</v>
      </c>
      <c r="E20" s="253"/>
      <c r="F20" s="101" t="s">
        <v>291</v>
      </c>
      <c r="G20" s="256">
        <f ca="1">ROUND(C20*$C$18+D20*$D$18,0)</f>
        <v>38198</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137991</v>
      </c>
      <c r="D21" s="134">
        <f ca="1">SUMIF(INDIRECT("'"&amp;D4&amp;"'"&amp;"!A:A"),结果表!B21,INDIRECT("'"&amp;D4&amp;"'"&amp;"!B:B"))</f>
        <v>116235</v>
      </c>
      <c r="E21" s="253"/>
      <c r="F21" s="105" t="s">
        <v>293</v>
      </c>
      <c r="G21" s="259">
        <f ca="1">ROUND(C21*$C$18+D21*$D$18,0)</f>
        <v>127113</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0.18717524147447273</v>
      </c>
      <c r="E22" s="261"/>
      <c r="F22" s="262"/>
      <c r="G22" s="263">
        <f ca="1">ROUND(G19/('数据-汇总表'!D3/666.67),0)</f>
        <v>8474</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52"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699"/>
      <c r="B25" s="1122" t="s">
        <v>297</v>
      </c>
      <c r="C25" s="267">
        <f>IF(B30=0,0,C30)</f>
        <v>0</v>
      </c>
      <c r="D25" s="268"/>
      <c r="E25" s="286"/>
      <c r="F25" s="286"/>
      <c r="G25" s="286"/>
      <c r="H25" s="286"/>
      <c r="I25" s="286"/>
      <c r="J25" s="1634"/>
      <c r="K25" s="1059" t="str">
        <f ca="1">项目基本情况!A17&amp;"国有建设用地使用权价格："&amp;O38&amp;"万元"</f>
        <v>出让国有建设用地使用权价格：277389万元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大写金额：人民币贰拾柒亿柒仟叁佰捌拾玖万元整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单位面积地价：127113元/平方米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楼面地价：38198元/平方米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抵押价格：274410万元</v>
      </c>
      <c r="L29" s="1058"/>
      <c r="M29" s="1058"/>
      <c r="N29" s="1058"/>
      <c r="O29" s="257"/>
      <c r="P29" s="1634"/>
      <c r="V29" s="1634"/>
    </row>
    <row r="30" spans="1:22" ht="18.75" thickBot="1">
      <c r="A30" s="2363" t="s">
        <v>302</v>
      </c>
      <c r="B30" s="284"/>
      <c r="C30" s="284"/>
      <c r="D30" s="285"/>
      <c r="E30" s="2537" t="s">
        <v>2246</v>
      </c>
      <c r="F30" s="286"/>
      <c r="G30" s="286"/>
      <c r="H30" s="286"/>
      <c r="I30" s="286"/>
      <c r="J30" s="1634"/>
      <c r="K30" s="1062" t="str">
        <f ca="1">IF(K29="——","——","大写金额：人民币"&amp;NUMBERSTRING(INT(O39*10000),2)&amp;"元整")</f>
        <v>大写金额：人民币贰拾柒亿肆仟肆佰壹拾万元整</v>
      </c>
      <c r="L30" s="1058"/>
      <c r="M30" s="1058"/>
      <c r="N30" s="1058"/>
      <c r="O30" s="257"/>
      <c r="P30" s="1634"/>
      <c r="V30" s="1634"/>
    </row>
    <row r="31" spans="1:22" ht="24" customHeight="1" thickBot="1">
      <c r="A31" s="3695" t="s">
        <v>2247</v>
      </c>
      <c r="B31" s="3695"/>
      <c r="C31" s="3695"/>
      <c r="D31" s="3695"/>
      <c r="E31" s="3695"/>
      <c r="F31" s="3695"/>
      <c r="G31" s="3695"/>
      <c r="H31" s="3695"/>
      <c r="I31" s="3695"/>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8" t="s">
        <v>1221</v>
      </c>
      <c r="C32" s="245">
        <f ca="1">G19-C24</f>
        <v>277389</v>
      </c>
      <c r="D32" s="2539"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38198</v>
      </c>
      <c r="D33" s="1171" t="s">
        <v>1224</v>
      </c>
      <c r="E33" s="3652"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127113</v>
      </c>
      <c r="D34" s="1171" t="s">
        <v>1224</v>
      </c>
      <c r="E34" s="3653"/>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8474</v>
      </c>
      <c r="D35" s="1174" t="s">
        <v>1226</v>
      </c>
      <c r="E35" s="3654"/>
      <c r="F35" s="277" t="s">
        <v>308</v>
      </c>
      <c r="G35" s="894">
        <f>E37+E38</f>
        <v>2979</v>
      </c>
      <c r="H35" s="893" t="s">
        <v>309</v>
      </c>
      <c r="I35" s="286"/>
      <c r="J35" s="1634"/>
      <c r="K35" s="3658" t="s">
        <v>316</v>
      </c>
      <c r="L35" s="3658" t="s">
        <v>317</v>
      </c>
      <c r="M35" s="1068" t="s">
        <v>318</v>
      </c>
      <c r="N35" s="3658" t="s">
        <v>319</v>
      </c>
      <c r="O35" s="3658" t="s">
        <v>320</v>
      </c>
      <c r="P35" s="1634"/>
      <c r="V35" s="1634"/>
    </row>
    <row r="36" spans="1:22" ht="16.5" customHeight="1">
      <c r="A36" s="279" t="s">
        <v>310</v>
      </c>
      <c r="B36" s="280" t="s">
        <v>299</v>
      </c>
      <c r="C36" s="281" t="s">
        <v>311</v>
      </c>
      <c r="D36" s="281" t="s">
        <v>312</v>
      </c>
      <c r="E36" s="282" t="s">
        <v>313</v>
      </c>
      <c r="F36" s="286"/>
      <c r="G36" s="286"/>
      <c r="H36" s="286"/>
      <c r="I36" s="286"/>
      <c r="J36" s="1642"/>
      <c r="K36" s="3659"/>
      <c r="L36" s="3659"/>
      <c r="M36" s="1070" t="s">
        <v>321</v>
      </c>
      <c r="N36" s="3659"/>
      <c r="O36" s="3659"/>
      <c r="P36" s="1634"/>
      <c r="V36" s="1634"/>
    </row>
    <row r="37" spans="1:22" ht="16.5" customHeight="1" thickBot="1">
      <c r="A37" s="1064" t="s">
        <v>314</v>
      </c>
      <c r="B37" s="269">
        <f>'数据-汇总表'!G20+'比较法-住宅、综合'!E62</f>
        <v>3546.75</v>
      </c>
      <c r="C37" s="270">
        <f>ROUND(信息及取费!C6*0.25*0.25,0)</f>
        <v>2248</v>
      </c>
      <c r="D37" s="3521">
        <v>3.0499999999999999E-2</v>
      </c>
      <c r="E37" s="271">
        <f>ROUND(B37*C37*(1+D37)/10000,0)</f>
        <v>822</v>
      </c>
      <c r="F37" s="286"/>
      <c r="G37" s="286"/>
      <c r="H37" s="286"/>
      <c r="I37" s="286"/>
      <c r="J37" s="1642"/>
      <c r="K37" s="3660"/>
      <c r="L37" s="3660"/>
      <c r="M37" s="1071"/>
      <c r="N37" s="3660"/>
      <c r="O37" s="3660"/>
      <c r="P37" s="1634"/>
      <c r="V37" s="1634"/>
    </row>
    <row r="38" spans="1:22" ht="16.5" customHeight="1" thickBot="1">
      <c r="A38" s="1064" t="s">
        <v>315</v>
      </c>
      <c r="B38" s="269">
        <f>'数据-汇总表'!G21</f>
        <v>15515.510000000002</v>
      </c>
      <c r="C38" s="270">
        <f>ROUND(信息及取费!C6*0.15*0.25,0)</f>
        <v>1349</v>
      </c>
      <c r="D38" s="3521">
        <f>D37</f>
        <v>3.0499999999999999E-2</v>
      </c>
      <c r="E38" s="271">
        <f>ROUND(B38*C38*(1+D38)/10000,0)</f>
        <v>2157</v>
      </c>
      <c r="F38" s="286"/>
      <c r="G38" s="286"/>
      <c r="H38" s="286"/>
      <c r="I38" s="286"/>
      <c r="J38" s="1642"/>
      <c r="K38" s="1072">
        <f>'数据-汇总表'!D3</f>
        <v>21822.21</v>
      </c>
      <c r="L38" s="1073">
        <f>'数据-汇总表'!E3</f>
        <v>72618.101999999999</v>
      </c>
      <c r="M38" s="1073">
        <f ca="1">C34</f>
        <v>127113</v>
      </c>
      <c r="N38" s="1073">
        <f ca="1">C33</f>
        <v>38198</v>
      </c>
      <c r="O38" s="1074">
        <f ca="1">C32</f>
        <v>277389</v>
      </c>
      <c r="P38" s="1634"/>
      <c r="V38" s="1634"/>
    </row>
    <row r="39" spans="1:22" ht="16.5" customHeight="1" thickBot="1">
      <c r="A39" s="1069"/>
      <c r="B39" s="283"/>
      <c r="C39" s="284"/>
      <c r="D39" s="284"/>
      <c r="E39" s="285"/>
      <c r="F39" s="286"/>
      <c r="G39" s="286"/>
      <c r="H39" s="286"/>
      <c r="I39" s="286"/>
      <c r="J39" s="1642"/>
      <c r="K39" s="3671" t="str">
        <f>MID(A44,3,LEN(A44)-2)</f>
        <v>抵押价格</v>
      </c>
      <c r="L39" s="3672"/>
      <c r="M39" s="3672"/>
      <c r="N39" s="3673"/>
      <c r="O39" s="1176">
        <f ca="1">C44</f>
        <v>274410</v>
      </c>
      <c r="P39" s="1634"/>
      <c r="V39" s="1634"/>
    </row>
    <row r="40" spans="1:22" ht="19.5" thickBot="1">
      <c r="A40" s="94" t="s">
        <v>810</v>
      </c>
      <c r="B40" s="286"/>
      <c r="C40" s="286"/>
      <c r="D40" s="286"/>
      <c r="E40" s="286"/>
      <c r="F40" s="286"/>
      <c r="G40" s="286"/>
      <c r="H40" s="286"/>
      <c r="I40" s="286"/>
      <c r="J40" s="1642"/>
      <c r="K40" s="3671" t="str">
        <f>MID(A45,3,LEN(A45)-2)</f>
        <v/>
      </c>
      <c r="L40" s="3672"/>
      <c r="M40" s="3672"/>
      <c r="N40" s="3673"/>
      <c r="O40" s="1176" t="str">
        <f>C45</f>
        <v>——</v>
      </c>
      <c r="P40" s="1634"/>
      <c r="V40" s="1634"/>
    </row>
    <row r="41" spans="1:22" ht="16.5" thickBot="1">
      <c r="A41" s="287" t="s">
        <v>322</v>
      </c>
      <c r="B41" s="288"/>
      <c r="C41" s="289" t="s">
        <v>323</v>
      </c>
      <c r="D41" s="290" t="s">
        <v>324</v>
      </c>
      <c r="E41" s="290" t="s">
        <v>325</v>
      </c>
      <c r="F41" s="291" t="s">
        <v>326</v>
      </c>
      <c r="G41" s="286"/>
      <c r="H41" s="286"/>
      <c r="I41" s="286"/>
      <c r="J41" s="1642"/>
      <c r="K41" s="3671" t="str">
        <f>MID(A46,3,LEN(A46)-2)</f>
        <v/>
      </c>
      <c r="L41" s="3672"/>
      <c r="M41" s="3672"/>
      <c r="N41" s="3673"/>
      <c r="O41" s="1176" t="str">
        <f>C46</f>
        <v>——</v>
      </c>
      <c r="P41" s="1634"/>
      <c r="V41" s="1634"/>
    </row>
    <row r="42" spans="1:22" ht="29.25">
      <c r="A42" s="3700" t="s">
        <v>1585</v>
      </c>
      <c r="B42" s="3701"/>
      <c r="C42" s="243">
        <f ca="1">C32</f>
        <v>277389</v>
      </c>
      <c r="D42" s="292">
        <f ca="1">C33</f>
        <v>38198</v>
      </c>
      <c r="E42" s="292">
        <f ca="1">C34</f>
        <v>127113</v>
      </c>
      <c r="F42" s="293">
        <f ca="1">C35</f>
        <v>8474</v>
      </c>
      <c r="G42" s="286"/>
      <c r="H42" s="286"/>
      <c r="I42" s="294"/>
      <c r="J42" s="1642"/>
      <c r="K42" s="1075" t="s">
        <v>327</v>
      </c>
      <c r="L42" s="1658" t="s">
        <v>328</v>
      </c>
      <c r="M42" s="1076" t="s">
        <v>329</v>
      </c>
      <c r="N42" s="1659" t="s">
        <v>330</v>
      </c>
      <c r="O42" s="1660" t="s">
        <v>331</v>
      </c>
      <c r="P42" s="1634"/>
      <c r="V42" s="1634"/>
    </row>
    <row r="43" spans="1:22" ht="30">
      <c r="A43" s="3710" t="s">
        <v>2012</v>
      </c>
      <c r="B43" s="3711"/>
      <c r="C43" s="243">
        <f>IF(H33="正常操作",G33+G34+G35,G34+G35)</f>
        <v>2979</v>
      </c>
      <c r="D43" s="292" t="s">
        <v>17</v>
      </c>
      <c r="E43" s="292" t="s">
        <v>18</v>
      </c>
      <c r="F43" s="293" t="s">
        <v>18</v>
      </c>
      <c r="G43" s="2169" t="s">
        <v>877</v>
      </c>
      <c r="H43" s="286"/>
      <c r="I43" s="294"/>
      <c r="J43" s="1642"/>
      <c r="K43" s="1077" t="str">
        <f>C4</f>
        <v>比较法-住宅、综合</v>
      </c>
      <c r="L43" s="1078">
        <f ca="1">IF(L42="估价结果/万元",C19,C20)</f>
        <v>301127</v>
      </c>
      <c r="M43" s="1079">
        <f>C18</f>
        <v>0.5</v>
      </c>
      <c r="N43" s="1080">
        <f ca="1">IF(N42="测算结果/万元",G19,G20)</f>
        <v>277389</v>
      </c>
      <c r="O43" s="1081">
        <f ca="1">IF(O42="最终结果/万元",C32,C33)</f>
        <v>277389</v>
      </c>
      <c r="P43" s="1634"/>
      <c r="V43" s="1634"/>
    </row>
    <row r="44" spans="1:22" ht="30.75" thickBot="1">
      <c r="A44" s="3700" t="str">
        <f>IF(OR(项目基本情况!E8="抵押价格",项目基本情况!E8="已注销及未注销"),"3.抵押价格","——")</f>
        <v>3.抵押价格</v>
      </c>
      <c r="B44" s="3701"/>
      <c r="C44" s="243">
        <f ca="1">IF(A44="——","——",C42-C43)</f>
        <v>274410</v>
      </c>
      <c r="D44" s="292">
        <f ca="1">ROUND(C44*10000/'数据-汇总表'!E3,0)</f>
        <v>37788</v>
      </c>
      <c r="E44" s="292">
        <f ca="1">ROUND(C44*10000/'数据-汇总表'!D3,0)</f>
        <v>125748</v>
      </c>
      <c r="F44" s="293">
        <f ca="1">ROUND(C44/('数据-汇总表'!D3/666.67),0)</f>
        <v>8383</v>
      </c>
      <c r="G44" s="286"/>
      <c r="H44" s="286"/>
      <c r="I44" s="294"/>
      <c r="J44" s="1642"/>
      <c r="K44" s="1082" t="str">
        <f>D4</f>
        <v>剩余法-待开发</v>
      </c>
      <c r="L44" s="1083">
        <f ca="1">IF(L42="估价结果/万元",D19,D20)</f>
        <v>253650</v>
      </c>
      <c r="M44" s="1084">
        <f>D18</f>
        <v>0.5</v>
      </c>
      <c r="N44" s="1085"/>
      <c r="O44" s="1086"/>
      <c r="P44" s="1634"/>
      <c r="V44" s="1634"/>
    </row>
    <row r="45" spans="1:22" ht="15">
      <c r="A45" s="3705" t="str">
        <f>IF(项目基本情况!E8="已注销及未注销","4.抵押担保权已注销时的抵押价格",IF(项目基本情况!E8="已注销","3.抵押担保权已注销时的抵押价格","——"))</f>
        <v>——</v>
      </c>
      <c r="B45" s="3706"/>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702" t="str">
        <f>IF(项目基本情况!E9="抵押净值",IF(A45="——","4.抵押净值","5.抵押净值"),"——")</f>
        <v>——</v>
      </c>
      <c r="B46" s="3703"/>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本次评估估价师知悉的法定优先受偿款为人民币2979万元整。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63" t="s">
        <v>340</v>
      </c>
      <c r="B63" s="3664"/>
      <c r="C63" s="3665"/>
      <c r="D63" s="314">
        <f ca="1">ROUND(C42*F63,0)</f>
        <v>277389</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707" t="s">
        <v>344</v>
      </c>
      <c r="B64" s="3708"/>
      <c r="C64" s="3708"/>
      <c r="D64" s="3708"/>
      <c r="E64" s="3708"/>
      <c r="F64" s="3708"/>
      <c r="G64" s="3709"/>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704" t="s">
        <v>352</v>
      </c>
      <c r="B66" s="3670"/>
      <c r="C66" s="3670"/>
      <c r="D66" s="240" t="b">
        <f>IF(H66="情况1",0,IF(H66="情况2",D70,IF(H66="情况3",D71,IF(H66="情况4",D72))))</f>
        <v>0</v>
      </c>
      <c r="E66" s="904" t="str">
        <f>IF(H66="情况4","(销售额-原购置价)×税（费）率","销售额×税（费）率")</f>
        <v>销售额×税（费）率</v>
      </c>
      <c r="F66" s="323">
        <f>IF(H66="情况1","免征",'数据-取费表'!B41)</f>
        <v>5.5000000000000007E-2</v>
      </c>
      <c r="G66" s="324" t="s">
        <v>353</v>
      </c>
      <c r="H66" s="173"/>
      <c r="I66" s="1091"/>
      <c r="J66" s="1646"/>
      <c r="K66" s="1094">
        <v>1</v>
      </c>
      <c r="L66" s="3631" t="s">
        <v>351</v>
      </c>
      <c r="M66" s="3632"/>
      <c r="N66" s="1971"/>
      <c r="O66" s="1972"/>
      <c r="P66" s="1973"/>
      <c r="Q66" s="1634"/>
      <c r="R66" s="1634"/>
      <c r="S66" s="1634"/>
      <c r="T66" s="1634"/>
      <c r="U66" s="1634"/>
      <c r="V66" s="1634"/>
    </row>
    <row r="67" spans="1:22" ht="25.5" customHeight="1">
      <c r="A67" s="325" t="s">
        <v>355</v>
      </c>
      <c r="B67" s="3682" t="s">
        <v>356</v>
      </c>
      <c r="C67" s="3682"/>
      <c r="D67" s="326">
        <v>0</v>
      </c>
      <c r="E67" s="36" t="s">
        <v>357</v>
      </c>
      <c r="F67" s="57" t="s">
        <v>15</v>
      </c>
      <c r="G67" s="3666"/>
      <c r="H67" s="2540" t="s">
        <v>2248</v>
      </c>
      <c r="I67" s="2542"/>
      <c r="J67" s="1647"/>
      <c r="K67" s="1630">
        <v>2</v>
      </c>
      <c r="L67" s="3636" t="s">
        <v>354</v>
      </c>
      <c r="M67" s="3636"/>
      <c r="N67" s="1126">
        <f>'数据-取费表'!B2</f>
        <v>45616</v>
      </c>
      <c r="O67" s="1126"/>
      <c r="P67" s="1126"/>
      <c r="Q67" s="1634"/>
      <c r="R67" s="1634"/>
      <c r="S67" s="1634"/>
      <c r="T67" s="1634"/>
      <c r="U67" s="1634"/>
      <c r="V67" s="1634"/>
    </row>
    <row r="68" spans="1:22" ht="25.5" customHeight="1">
      <c r="A68" s="327"/>
      <c r="B68" s="3682" t="s">
        <v>359</v>
      </c>
      <c r="C68" s="3682"/>
      <c r="D68" s="328"/>
      <c r="E68" s="72"/>
      <c r="F68" s="329"/>
      <c r="G68" s="3667"/>
      <c r="H68" s="2541" t="s">
        <v>2249</v>
      </c>
      <c r="I68" s="2542"/>
      <c r="J68" s="1647"/>
      <c r="K68" s="1630">
        <v>3</v>
      </c>
      <c r="L68" s="3636" t="s">
        <v>358</v>
      </c>
      <c r="M68" s="3636"/>
      <c r="N68" s="1096">
        <f ca="1">C42</f>
        <v>277389</v>
      </c>
      <c r="O68" s="1096"/>
      <c r="P68" s="1096"/>
      <c r="Q68" s="1634"/>
      <c r="R68" s="1634"/>
      <c r="S68" s="1634"/>
      <c r="T68" s="1634"/>
      <c r="U68" s="1634"/>
      <c r="V68" s="1634"/>
    </row>
    <row r="69" spans="1:22" ht="23.45" customHeight="1">
      <c r="A69" s="330"/>
      <c r="B69" s="3682" t="s">
        <v>360</v>
      </c>
      <c r="C69" s="3682"/>
      <c r="D69" s="331"/>
      <c r="E69" s="68"/>
      <c r="F69" s="329"/>
      <c r="G69" s="3668"/>
      <c r="H69" s="2541" t="s">
        <v>2250</v>
      </c>
      <c r="I69" s="2542"/>
      <c r="J69" s="1647"/>
      <c r="K69" s="1097">
        <v>4</v>
      </c>
      <c r="L69" s="3637" t="s">
        <v>2152</v>
      </c>
      <c r="M69" s="3638"/>
      <c r="N69" s="1098">
        <f ca="1">C44</f>
        <v>274410</v>
      </c>
      <c r="O69" s="1098"/>
      <c r="P69" s="1098"/>
      <c r="Q69" s="1634"/>
      <c r="R69" s="1634"/>
      <c r="S69" s="1634"/>
      <c r="T69" s="1634"/>
      <c r="U69" s="1634"/>
      <c r="V69" s="1634"/>
    </row>
    <row r="70" spans="1:22" ht="24" customHeight="1">
      <c r="A70" s="332" t="s">
        <v>361</v>
      </c>
      <c r="B70" s="3682" t="s">
        <v>362</v>
      </c>
      <c r="C70" s="3682"/>
      <c r="D70" s="331">
        <f ca="1">ROUND(D63*'数据-取费表'!B41/(1+'数据-取费表'!C42),0)</f>
        <v>14530</v>
      </c>
      <c r="E70" s="14" t="s">
        <v>363</v>
      </c>
      <c r="F70" s="333">
        <f>'数据-取费表'!B41</f>
        <v>5.5000000000000007E-2</v>
      </c>
      <c r="G70" s="334"/>
      <c r="H70" s="286"/>
      <c r="I70" s="1095"/>
      <c r="J70" s="1647"/>
      <c r="K70" s="2331"/>
      <c r="L70" s="2332"/>
      <c r="M70" s="2332"/>
      <c r="N70" s="2333" t="s">
        <v>2156</v>
      </c>
      <c r="O70" s="2332"/>
      <c r="P70" s="2334"/>
      <c r="Q70" s="1634"/>
      <c r="R70" s="1634"/>
      <c r="S70" s="1634"/>
      <c r="T70" s="1634"/>
      <c r="U70" s="1634"/>
      <c r="V70" s="1634"/>
    </row>
    <row r="71" spans="1:22" ht="12" customHeight="1">
      <c r="A71" s="332" t="s">
        <v>369</v>
      </c>
      <c r="B71" s="3681" t="s">
        <v>2274</v>
      </c>
      <c r="C71" s="3698"/>
      <c r="D71" s="331">
        <f ca="1">ROUND(D63*'数据-取费表'!B41/(1+'数据-取费表'!C42),0)</f>
        <v>14530</v>
      </c>
      <c r="E71" s="14" t="s">
        <v>363</v>
      </c>
      <c r="F71" s="333">
        <f>'数据-取费表'!B41</f>
        <v>5.5000000000000007E-2</v>
      </c>
      <c r="G71" s="334"/>
      <c r="H71" s="286"/>
      <c r="I71" s="1095"/>
      <c r="J71" s="1647"/>
      <c r="K71" s="2330" t="s">
        <v>364</v>
      </c>
      <c r="L71" s="3639" t="s">
        <v>365</v>
      </c>
      <c r="M71" s="3639"/>
      <c r="N71" s="2330" t="s">
        <v>366</v>
      </c>
      <c r="O71" s="2330" t="s">
        <v>367</v>
      </c>
      <c r="P71" s="2330" t="s">
        <v>368</v>
      </c>
      <c r="Q71" s="1634"/>
      <c r="R71" s="1634"/>
      <c r="S71" s="1634"/>
      <c r="T71" s="1634"/>
      <c r="U71" s="1634"/>
      <c r="V71" s="1634"/>
    </row>
    <row r="72" spans="1:22" ht="12" customHeight="1">
      <c r="A72" s="332" t="s">
        <v>371</v>
      </c>
      <c r="B72" s="3681" t="s">
        <v>2275</v>
      </c>
      <c r="C72" s="3698"/>
      <c r="D72" s="331">
        <f ca="1">C86</f>
        <v>14530</v>
      </c>
      <c r="E72" s="68" t="s">
        <v>372</v>
      </c>
      <c r="F72" s="333">
        <f>'数据-取费表'!B41</f>
        <v>5.5000000000000007E-2</v>
      </c>
      <c r="G72" s="334"/>
      <c r="H72" s="1101"/>
      <c r="I72" s="1095"/>
      <c r="J72" s="1647"/>
      <c r="K72" s="1630">
        <v>1</v>
      </c>
      <c r="L72" s="3635" t="s">
        <v>370</v>
      </c>
      <c r="M72" s="3635"/>
      <c r="N72" s="1099" t="b">
        <f>D66</f>
        <v>0</v>
      </c>
      <c r="O72" s="1537" t="str">
        <f>E66</f>
        <v>销售额×税（费）率</v>
      </c>
      <c r="P72" s="1100">
        <f>F66</f>
        <v>5.5000000000000007E-2</v>
      </c>
      <c r="Q72" s="1634"/>
      <c r="R72" s="1634"/>
      <c r="S72" s="1634"/>
      <c r="T72" s="1634"/>
      <c r="U72" s="1634"/>
      <c r="V72" s="1634"/>
    </row>
    <row r="73" spans="1:22" ht="24" customHeight="1">
      <c r="A73" s="3669" t="s">
        <v>374</v>
      </c>
      <c r="B73" s="3670"/>
      <c r="C73" s="3670"/>
      <c r="D73" s="335">
        <f ca="1">IF(H73="个人住宅",0,ROUND(D63*I73,0))</f>
        <v>139</v>
      </c>
      <c r="E73" s="14" t="s">
        <v>375</v>
      </c>
      <c r="F73" s="333" t="str">
        <f>IF(H73="正常",I73,"免征")</f>
        <v>免征</v>
      </c>
      <c r="G73" s="334"/>
      <c r="H73" s="173"/>
      <c r="I73" s="333">
        <f>'数据-取费表'!B49</f>
        <v>5.0000000000000001E-4</v>
      </c>
      <c r="J73" s="1647"/>
      <c r="K73" s="1630">
        <v>2</v>
      </c>
      <c r="L73" s="3635" t="s">
        <v>373</v>
      </c>
      <c r="M73" s="3635"/>
      <c r="N73" s="1099">
        <f t="shared" ref="N73:P74" ca="1" si="0">D73</f>
        <v>139</v>
      </c>
      <c r="O73" s="1537" t="str">
        <f t="shared" si="0"/>
        <v>销售额×税（费）率</v>
      </c>
      <c r="P73" s="1100" t="str">
        <f t="shared" si="0"/>
        <v>免征</v>
      </c>
      <c r="Q73" s="1634"/>
      <c r="R73" s="1634"/>
      <c r="S73" s="1634"/>
      <c r="T73" s="1634"/>
      <c r="U73" s="1634"/>
      <c r="V73" s="1634"/>
    </row>
    <row r="74" spans="1:22" ht="24.75">
      <c r="A74" s="3669" t="s">
        <v>377</v>
      </c>
      <c r="B74" s="3670"/>
      <c r="C74" s="3670"/>
      <c r="D74" s="335">
        <f ca="1">IF(H74="个人住宅",D75,D76)</f>
        <v>157253</v>
      </c>
      <c r="E74" s="14" t="s">
        <v>378</v>
      </c>
      <c r="F74" s="333" t="str">
        <f>IF(H74="正常",F76,"免征")</f>
        <v>免征</v>
      </c>
      <c r="G74" s="895" t="s">
        <v>379</v>
      </c>
      <c r="H74" s="336"/>
      <c r="I74" s="37"/>
      <c r="J74" s="1647"/>
      <c r="K74" s="1630">
        <v>3</v>
      </c>
      <c r="L74" s="3635" t="s">
        <v>376</v>
      </c>
      <c r="M74" s="3635"/>
      <c r="N74" s="1099">
        <f t="shared" ca="1" si="0"/>
        <v>157253</v>
      </c>
      <c r="O74" s="1537" t="str">
        <f t="shared" si="0"/>
        <v>增值额×税（费）率</v>
      </c>
      <c r="P74" s="1102" t="str">
        <f t="shared" si="0"/>
        <v>免征</v>
      </c>
      <c r="Q74" s="1634"/>
      <c r="R74" s="1634"/>
      <c r="S74" s="1634"/>
      <c r="T74" s="1634"/>
      <c r="U74" s="1634"/>
      <c r="V74" s="1634"/>
    </row>
    <row r="75" spans="1:22" ht="12.75">
      <c r="A75" s="332" t="s">
        <v>380</v>
      </c>
      <c r="B75" s="3650" t="s">
        <v>381</v>
      </c>
      <c r="C75" s="3651"/>
      <c r="D75" s="337">
        <v>0</v>
      </c>
      <c r="E75" s="36" t="s">
        <v>382</v>
      </c>
      <c r="F75" s="338"/>
      <c r="G75" s="334"/>
      <c r="H75" s="37"/>
      <c r="I75" s="37"/>
      <c r="J75" s="1647"/>
      <c r="K75" s="1630">
        <f>IF(H77="非个人房产","",4)</f>
        <v>4</v>
      </c>
      <c r="L75" s="3635" t="str">
        <f>IF(H77="非个人房产","——","个人所得税")</f>
        <v>个人所得税</v>
      </c>
      <c r="M75" s="3635"/>
      <c r="N75" s="1103">
        <f>D77</f>
        <v>0</v>
      </c>
      <c r="O75" s="1538" t="str">
        <f>E77</f>
        <v>差额计税</v>
      </c>
      <c r="P75" s="1104">
        <f>F77</f>
        <v>0.01</v>
      </c>
      <c r="Q75" s="1634"/>
      <c r="R75" s="1634"/>
      <c r="S75" s="1634"/>
      <c r="T75" s="1634"/>
      <c r="U75" s="1634"/>
      <c r="V75" s="1634"/>
    </row>
    <row r="76" spans="1:22" ht="24.75">
      <c r="A76" s="332" t="s">
        <v>361</v>
      </c>
      <c r="B76" s="3650" t="s">
        <v>384</v>
      </c>
      <c r="C76" s="3692"/>
      <c r="D76" s="335">
        <f ca="1">IF(H76="转让取得",C99,C115)</f>
        <v>157253</v>
      </c>
      <c r="E76" s="14" t="s">
        <v>385</v>
      </c>
      <c r="F76" s="48" t="s">
        <v>15</v>
      </c>
      <c r="G76" s="334"/>
      <c r="H76" s="336"/>
      <c r="I76" s="37"/>
      <c r="J76" s="1647"/>
      <c r="K76" s="1630" t="str">
        <f>IF(项目基本情况!K6="上海银行",IF(K75="",4,K75+1),"")</f>
        <v/>
      </c>
      <c r="L76" s="3646" t="str">
        <f>IF(项目基本情况!K6="上海银行","其他处置费用","")</f>
        <v/>
      </c>
      <c r="M76" s="3647"/>
      <c r="N76" s="1099" t="str">
        <f>IF(项目基本情况!K6="上海银行",N89,"")</f>
        <v/>
      </c>
      <c r="O76" s="3648" t="str">
        <f>IF(项目基本情况!K6="上海银行","包含处置中涉及的律师、诉讼、拍卖、评估等费用","")</f>
        <v/>
      </c>
      <c r="P76" s="3649"/>
      <c r="Q76" s="1634"/>
      <c r="R76" s="1634"/>
      <c r="S76" s="1634"/>
      <c r="T76" s="1634"/>
      <c r="U76" s="1634"/>
      <c r="V76" s="1634"/>
    </row>
    <row r="77" spans="1:22" ht="24.75" thickBot="1">
      <c r="A77" s="3661" t="s">
        <v>387</v>
      </c>
      <c r="B77" s="3662"/>
      <c r="C77" s="3662"/>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6" t="s">
        <v>379</v>
      </c>
      <c r="H77" s="2544"/>
      <c r="I77" s="2543" t="s">
        <v>2251</v>
      </c>
      <c r="J77" s="1647"/>
      <c r="K77" s="3657">
        <f>IF(AND(K75="",K76=""),4,IF(项目基本情况!K6="上海银行",K76+1,K75+1))</f>
        <v>5</v>
      </c>
      <c r="L77" s="3635" t="s">
        <v>2153</v>
      </c>
      <c r="M77" s="2329" t="s">
        <v>383</v>
      </c>
      <c r="N77" s="1105"/>
      <c r="O77" s="1106">
        <f ca="1">SUMIF(N72:N76,"&lt;9e307")</f>
        <v>157392</v>
      </c>
      <c r="P77" s="1107"/>
      <c r="Q77" s="2327">
        <f ca="1">O77/N69</f>
        <v>0.5735651033125615</v>
      </c>
      <c r="R77" s="1634"/>
      <c r="S77" s="1634"/>
      <c r="T77" s="1634"/>
      <c r="U77" s="1634"/>
      <c r="V77" s="1634"/>
    </row>
    <row r="78" spans="1:22" ht="12" customHeight="1">
      <c r="A78" s="1108"/>
      <c r="B78" s="286"/>
      <c r="C78" s="286"/>
      <c r="D78" s="286"/>
      <c r="E78" s="37"/>
      <c r="F78" s="37"/>
      <c r="G78" s="37"/>
      <c r="H78" s="864"/>
      <c r="I78" s="286"/>
      <c r="J78" s="1647"/>
      <c r="K78" s="3657"/>
      <c r="L78" s="3635"/>
      <c r="M78" s="2329" t="s">
        <v>386</v>
      </c>
      <c r="N78" s="1105"/>
      <c r="O78" s="1106" t="str">
        <f ca="1">NUMBERSTRING(INT(O77*10000),2)&amp;"元整"</f>
        <v>壹拾伍亿柒仟叁佰玖拾贰万元整</v>
      </c>
      <c r="P78" s="1107"/>
      <c r="Q78" s="1634"/>
      <c r="R78" s="1634"/>
      <c r="S78" s="1634"/>
      <c r="T78" s="1634"/>
      <c r="U78" s="1634"/>
      <c r="V78" s="1634"/>
    </row>
    <row r="79" spans="1:22" ht="13.5" thickBot="1">
      <c r="A79" s="3712" t="s">
        <v>388</v>
      </c>
      <c r="B79" s="3712"/>
      <c r="C79" s="3712"/>
      <c r="D79" s="3712"/>
      <c r="E79" s="3712"/>
      <c r="F79" s="37"/>
      <c r="G79" s="37"/>
      <c r="H79" s="864"/>
      <c r="I79" s="286"/>
      <c r="J79" s="1647"/>
      <c r="K79" s="3633">
        <f>K77+1</f>
        <v>6</v>
      </c>
      <c r="L79" s="3635" t="s">
        <v>2154</v>
      </c>
      <c r="M79" s="2329" t="s">
        <v>383</v>
      </c>
      <c r="N79" s="1105"/>
      <c r="O79" s="1106">
        <f ca="1">N69-O77</f>
        <v>117018</v>
      </c>
      <c r="P79" s="1107"/>
      <c r="Q79" s="1634"/>
      <c r="R79" s="1634"/>
      <c r="S79" s="1634"/>
      <c r="T79" s="1634"/>
      <c r="U79" s="1634"/>
      <c r="V79" s="1634"/>
    </row>
    <row r="80" spans="1:22" ht="25.5">
      <c r="A80" s="3643" t="s">
        <v>389</v>
      </c>
      <c r="B80" s="3644"/>
      <c r="C80" s="905"/>
      <c r="D80" s="905" t="s">
        <v>390</v>
      </c>
      <c r="E80" s="339" t="s">
        <v>391</v>
      </c>
      <c r="F80" s="37"/>
      <c r="G80" s="37"/>
      <c r="H80" s="864"/>
      <c r="I80" s="286"/>
      <c r="J80" s="1634"/>
      <c r="K80" s="3634"/>
      <c r="L80" s="3635"/>
      <c r="M80" s="2329" t="s">
        <v>386</v>
      </c>
      <c r="N80" s="1105"/>
      <c r="O80" s="1106" t="str">
        <f ca="1">NUMBERSTRING(INT(O79*10000),2)&amp;"元整"</f>
        <v>壹拾壹亿柒仟零壹拾捌万元整</v>
      </c>
      <c r="P80" s="1107"/>
      <c r="Q80" s="1634"/>
      <c r="R80" s="1634"/>
      <c r="S80" s="1634"/>
      <c r="T80" s="1634"/>
      <c r="U80" s="1634"/>
      <c r="V80" s="1634"/>
    </row>
    <row r="81" spans="1:26" ht="13.5" thickBot="1">
      <c r="A81" s="350" t="s">
        <v>1352</v>
      </c>
      <c r="B81" s="340" t="s">
        <v>392</v>
      </c>
      <c r="C81" s="341">
        <f ca="1">ROUND((C82+C83)/(1+'数据-取费表'!C42),0)</f>
        <v>264180</v>
      </c>
      <c r="D81" s="342"/>
      <c r="E81" s="343"/>
      <c r="F81" s="37"/>
      <c r="G81" s="37"/>
      <c r="H81" s="864"/>
      <c r="I81" s="286"/>
      <c r="J81" s="1634"/>
      <c r="K81" s="1630">
        <f>K79+1</f>
        <v>7</v>
      </c>
      <c r="L81" s="3655" t="s">
        <v>2155</v>
      </c>
      <c r="M81" s="3656"/>
      <c r="N81" s="1109"/>
      <c r="O81" s="1110">
        <f ca="1">ROUND(O79*10000/'数据-汇总表'!E3,0)</f>
        <v>16114</v>
      </c>
      <c r="P81" s="1111"/>
      <c r="Q81" s="1634"/>
      <c r="R81" s="1634"/>
      <c r="S81" s="1634"/>
      <c r="T81" s="1634"/>
      <c r="U81" s="1634"/>
      <c r="V81" s="1634"/>
    </row>
    <row r="82" spans="1:26" ht="13.5" thickTop="1">
      <c r="A82" s="344" t="s">
        <v>1353</v>
      </c>
      <c r="B82" s="345" t="s">
        <v>393</v>
      </c>
      <c r="C82" s="346">
        <f ca="1">D63</f>
        <v>277389</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645" t="s">
        <v>2143</v>
      </c>
      <c r="L83" s="2335" t="s">
        <v>2144</v>
      </c>
      <c r="M83" s="2325">
        <f ca="1">IF(N69&gt;10000,N69*0.5%,IF(AND(N69&gt;1000,N69&lt;=10000),N69*1%,IF(AND(N69&gt;100,N69&lt;=1000),N69*3%,IF(AND(N69&gt;10,N69&lt;=100),N69*5%,N69*8%))))</f>
        <v>1372.05</v>
      </c>
      <c r="N83" s="48">
        <f ca="1">ROUND(M83,1)</f>
        <v>1372.1</v>
      </c>
      <c r="O83" s="2328"/>
      <c r="P83" s="1634"/>
      <c r="Q83" s="1634"/>
      <c r="R83" s="1634"/>
      <c r="S83" s="1634"/>
      <c r="T83" s="1634"/>
      <c r="U83" s="1634"/>
      <c r="V83" s="1634"/>
    </row>
    <row r="84" spans="1:26" ht="12.75">
      <c r="A84" s="350" t="s">
        <v>1355</v>
      </c>
      <c r="B84" s="351" t="s">
        <v>395</v>
      </c>
      <c r="C84" s="352"/>
      <c r="D84" s="353" t="s">
        <v>13</v>
      </c>
      <c r="E84" s="2350" t="s">
        <v>2194</v>
      </c>
      <c r="F84" s="37"/>
      <c r="G84" s="37"/>
      <c r="H84" s="864"/>
      <c r="I84" s="286"/>
      <c r="J84" s="1634"/>
      <c r="K84" s="3645"/>
      <c r="L84" s="2335" t="s">
        <v>2145</v>
      </c>
      <c r="M84" s="2325">
        <f ca="1">IF(N69&gt;2000,N69*0.5%,IF(AND(N69&gt;1000,N69&lt;=2000),N69*0.6%,IF(AND(N69&gt;500,N69&lt;=1000),N69*0.7%,IF(AND(N69&gt;200,N69&lt;=500),N69*0.8%,IF(AND(N69&gt;100,N69&lt;=200),N69*0.9%,IF(AND(N69&gt;50,N69&lt;=100),N69*1%,IF(AND(N69&gt;20,N69&lt;=50),N69*1.5%,IF(AND(N69&gt;10,N69&lt;=20),N69*2%,IF(AND(N69&gt;1,N69&lt;=10),N69*2.5%)))))))))</f>
        <v>1372.05</v>
      </c>
      <c r="N84" s="48">
        <f ca="1">ROUND(M84,1)</f>
        <v>1372.1</v>
      </c>
      <c r="O84" s="1634" t="s">
        <v>2146</v>
      </c>
      <c r="P84" s="1634"/>
      <c r="Q84" s="1634"/>
      <c r="R84" s="1634"/>
      <c r="S84" s="1634"/>
      <c r="T84" s="1634"/>
      <c r="U84" s="1634"/>
      <c r="V84" s="1634"/>
    </row>
    <row r="85" spans="1:26" ht="12.75">
      <c r="A85" s="350" t="s">
        <v>1356</v>
      </c>
      <c r="B85" s="351" t="s">
        <v>396</v>
      </c>
      <c r="C85" s="354">
        <f ca="1">C81-C84</f>
        <v>264180</v>
      </c>
      <c r="D85" s="347" t="s">
        <v>13</v>
      </c>
      <c r="E85" s="348"/>
      <c r="F85" s="37"/>
      <c r="G85" s="37"/>
      <c r="H85" s="864"/>
      <c r="I85" s="286"/>
      <c r="J85" s="1634"/>
      <c r="K85" s="3645"/>
      <c r="L85" s="2335" t="s">
        <v>2147</v>
      </c>
      <c r="M85" s="2325">
        <f ca="1">IF(N69&gt;1000,N69*0.1%,IF(AND(N69&gt;500,N69&lt;=1000),N69*0.5%,IF(AND(N69&gt;50,N69&lt;=500),N69*1%,IF(AND(N69&gt;1,N69&lt;=50),N69*1.5%))))</f>
        <v>274.41000000000003</v>
      </c>
      <c r="N85" s="48">
        <f ca="1">ROUND(M85,1)</f>
        <v>274.39999999999998</v>
      </c>
      <c r="O85" s="1634" t="s">
        <v>2146</v>
      </c>
      <c r="P85" s="1634"/>
      <c r="Q85" s="1634"/>
      <c r="R85" s="1634"/>
      <c r="S85" s="1634"/>
      <c r="T85" s="1634"/>
      <c r="U85" s="1634"/>
      <c r="V85" s="1634"/>
    </row>
    <row r="86" spans="1:26" ht="13.5" thickBot="1">
      <c r="A86" s="355" t="s">
        <v>1357</v>
      </c>
      <c r="B86" s="356" t="s">
        <v>397</v>
      </c>
      <c r="C86" s="357">
        <f ca="1">IF(C85&lt;=0,0,ROUND(C85*D86,0))</f>
        <v>14530</v>
      </c>
      <c r="D86" s="358">
        <f>'数据-取费表'!B41</f>
        <v>5.5000000000000007E-2</v>
      </c>
      <c r="E86" s="359"/>
      <c r="F86" s="37"/>
      <c r="G86" s="37"/>
      <c r="H86" s="864"/>
      <c r="I86" s="286"/>
      <c r="J86" s="1634"/>
      <c r="K86" s="3645"/>
      <c r="L86" s="2335" t="s">
        <v>2148</v>
      </c>
      <c r="M86" s="2325">
        <f ca="1">N69*0.5%</f>
        <v>1372.05</v>
      </c>
      <c r="N86" s="48">
        <f ca="1">IF(M86&gt;0.5,0.5,ROUND(M86,0))</f>
        <v>0.5</v>
      </c>
      <c r="O86" s="1634" t="s">
        <v>2149</v>
      </c>
      <c r="P86" s="1634"/>
      <c r="Q86" s="1634"/>
      <c r="R86" s="1634"/>
      <c r="S86" s="1634"/>
      <c r="T86" s="1634"/>
      <c r="U86" s="1634"/>
      <c r="V86" s="1634"/>
    </row>
    <row r="87" spans="1:26" ht="14.25" customHeight="1">
      <c r="A87" s="1112"/>
      <c r="B87" s="1113"/>
      <c r="C87" s="1114"/>
      <c r="D87" s="1115"/>
      <c r="E87" s="1116"/>
      <c r="F87" s="37"/>
      <c r="G87" s="37"/>
      <c r="H87" s="864"/>
      <c r="I87" s="286"/>
      <c r="J87" s="1634"/>
      <c r="K87" s="3645"/>
      <c r="L87" s="2335" t="s">
        <v>2150</v>
      </c>
      <c r="M87" s="2325">
        <f ca="1">IF(N69&gt;=10000,(8.25+(N69-10000)*0.01%),IF(AND(N69&gt;=8000,N69&lt;10000),(7.85+(N69-8000)*0.02%),IF(AND(N69&gt;=5000,N69&lt;8000),(6.65+(N69-5000)*0.04%),IF(AND(N69&gt;=2000,N69&lt;5000),(4.25+(PN69-2000)*0.08%),IF(AND(N69&gt;=1000,N69&lt;2000),(2.75+(N69-1000)*0.15%),IF(AND(N69&gt;=100,N69&lt;1000),(0.5+(N69-100)*0.25%),IF(AND(N69&gt;0,N69&lt;100),N69*0.5%)))))))</f>
        <v>34.691000000000003</v>
      </c>
      <c r="N87" s="48">
        <f ca="1">ROUND(M87*0.9,1)</f>
        <v>31.2</v>
      </c>
      <c r="O87" s="2328"/>
      <c r="P87" s="1634"/>
      <c r="Q87" s="1634"/>
      <c r="R87" s="1634"/>
      <c r="S87" s="1634"/>
      <c r="T87" s="1634"/>
      <c r="U87" s="1634"/>
      <c r="V87" s="1634"/>
    </row>
    <row r="88" spans="1:26" s="1005" customFormat="1" ht="15" thickBot="1">
      <c r="A88" s="3684" t="s">
        <v>398</v>
      </c>
      <c r="B88" s="3685"/>
      <c r="C88" s="3685"/>
      <c r="D88" s="3685"/>
      <c r="E88" s="3685"/>
      <c r="F88" s="3685"/>
      <c r="G88" s="3685"/>
      <c r="H88" s="3685"/>
      <c r="I88" s="1117"/>
      <c r="J88" s="1648"/>
      <c r="K88" s="3645"/>
      <c r="L88" s="2335" t="s">
        <v>2151</v>
      </c>
      <c r="M88" s="2325">
        <f ca="1">IF(N69&gt;10000,N69*0.5%,IF(AND(N69&gt;5000,N69&lt;=10000),N69*1%,IF(AND(N69&gt;1000,N69&lt;=5000),N69*2%,IF(AND(N69&gt;200,N69&lt;=1000),N69*3%,N69*5%))))</f>
        <v>1372.05</v>
      </c>
      <c r="N88" s="48">
        <f ca="1">ROUND(M88,1)</f>
        <v>1372.1</v>
      </c>
      <c r="O88" s="2328"/>
      <c r="P88" s="1645"/>
      <c r="Q88" s="1645"/>
      <c r="R88" s="1645"/>
      <c r="S88" s="1645"/>
      <c r="T88" s="1645"/>
      <c r="U88" s="1645"/>
      <c r="V88" s="1645"/>
      <c r="W88" s="1649"/>
      <c r="X88" s="1649"/>
      <c r="Y88" s="1649"/>
      <c r="Z88" s="1649"/>
    </row>
    <row r="89" spans="1:26" s="1005" customFormat="1" ht="14.25">
      <c r="A89" s="3643" t="s">
        <v>389</v>
      </c>
      <c r="B89" s="3644"/>
      <c r="C89" s="905"/>
      <c r="D89" s="905" t="s">
        <v>390</v>
      </c>
      <c r="E89" s="360" t="s">
        <v>399</v>
      </c>
      <c r="F89" s="361"/>
      <c r="G89" s="361"/>
      <c r="H89" s="362"/>
      <c r="I89" s="1118"/>
      <c r="J89" s="1650"/>
      <c r="K89" s="3645"/>
      <c r="L89" s="2335" t="s">
        <v>16</v>
      </c>
      <c r="M89" s="2326"/>
      <c r="N89" s="48">
        <f ca="1">ROUND(SUM(N83:N88),0)</f>
        <v>4422</v>
      </c>
      <c r="O89" s="2336">
        <f ca="1">N89/N69</f>
        <v>1.6114573084071281E-2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264180</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1321</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81" t="s">
        <v>407</v>
      </c>
      <c r="F94" s="3682"/>
      <c r="G94" s="3682"/>
      <c r="H94" s="3683"/>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1321</v>
      </c>
      <c r="D96" s="375">
        <f>'数据-取费表'!B43</f>
        <v>5.000000000000001E-3</v>
      </c>
      <c r="E96" s="3640" t="s">
        <v>1780</v>
      </c>
      <c r="F96" s="3641"/>
      <c r="G96" s="3641"/>
      <c r="H96" s="3642"/>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262859</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198.98485995457986</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157253</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84" t="s">
        <v>414</v>
      </c>
      <c r="B101" s="3685"/>
      <c r="C101" s="3685"/>
      <c r="D101" s="3685"/>
      <c r="E101" s="3685"/>
      <c r="F101" s="3685"/>
      <c r="G101" s="3685"/>
      <c r="H101" s="3685"/>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43" t="s">
        <v>389</v>
      </c>
      <c r="B102" s="3644"/>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264180</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1321</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0</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c r="D106" s="375"/>
      <c r="E106" s="386" t="s">
        <v>417</v>
      </c>
      <c r="F106" s="898"/>
      <c r="G106" s="387" t="s">
        <v>418</v>
      </c>
      <c r="H106" s="388"/>
      <c r="I106" s="9"/>
      <c r="J106" s="1645"/>
      <c r="K106" s="2740"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0</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96" t="s">
        <v>2243</v>
      </c>
      <c r="H108" s="3697"/>
      <c r="I108" s="2415"/>
      <c r="J108" s="1645"/>
      <c r="K108" s="2740"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74" t="s">
        <v>422</v>
      </c>
      <c r="F109" s="3641"/>
      <c r="G109" s="3641"/>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74" t="s">
        <v>424</v>
      </c>
      <c r="F110" s="3641"/>
      <c r="G110" s="3641"/>
      <c r="H110" s="3642"/>
      <c r="I110" s="9"/>
      <c r="J110" s="1645"/>
      <c r="K110" s="2741"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1321</v>
      </c>
      <c r="D111" s="375">
        <f>'数据-取费表'!B43</f>
        <v>5.000000000000001E-3</v>
      </c>
      <c r="E111" s="3640" t="s">
        <v>1780</v>
      </c>
      <c r="F111" s="3641"/>
      <c r="G111" s="3641"/>
      <c r="H111" s="3642"/>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74" t="s">
        <v>1799</v>
      </c>
      <c r="F112" s="3641"/>
      <c r="G112" s="3641"/>
      <c r="H112" s="3642"/>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262859</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198.98485995457986</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157253</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31" zoomScale="80" zoomScaleNormal="95" zoomScaleSheetLayoutView="80" workbookViewId="0">
      <selection activeCell="G15" sqref="G15"/>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301127</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41467</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137991</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9199</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36" t="s">
        <v>471</v>
      </c>
      <c r="D6" s="3737"/>
      <c r="E6" s="3736" t="s">
        <v>472</v>
      </c>
      <c r="F6" s="3737"/>
      <c r="G6" s="3736" t="s">
        <v>473</v>
      </c>
      <c r="H6" s="3737"/>
      <c r="I6" s="3736" t="s">
        <v>474</v>
      </c>
      <c r="J6" s="3737"/>
      <c r="K6" s="464" t="s">
        <v>475</v>
      </c>
      <c r="L6" s="1739"/>
      <c r="M6" s="1738"/>
      <c r="N6" s="1738"/>
      <c r="O6" s="1740"/>
      <c r="P6" s="3738" t="s">
        <v>476</v>
      </c>
      <c r="Q6" s="3739"/>
      <c r="R6" s="3722" t="s">
        <v>472</v>
      </c>
      <c r="S6" s="3723"/>
      <c r="T6" s="3722" t="s">
        <v>473</v>
      </c>
      <c r="U6" s="3723"/>
      <c r="V6" s="3744" t="s">
        <v>474</v>
      </c>
      <c r="W6" s="3744"/>
      <c r="X6" s="1300"/>
      <c r="Y6" s="3722" t="s">
        <v>476</v>
      </c>
      <c r="Z6" s="3723"/>
      <c r="AA6" s="3717" t="s">
        <v>472</v>
      </c>
      <c r="AB6" s="3718" t="s">
        <v>473</v>
      </c>
      <c r="AC6" s="3717" t="s">
        <v>474</v>
      </c>
    </row>
    <row r="7" spans="1:29" ht="60" customHeight="1">
      <c r="A7" s="465"/>
      <c r="B7" s="466"/>
      <c r="C7" s="3749" t="str">
        <f>信息及取费!M7</f>
        <v>0058地块</v>
      </c>
      <c r="D7" s="3748"/>
      <c r="E7" s="3747" t="str">
        <f>土地案例!A4</f>
        <v>北京市海淀区西北旺镇永丰产业基地(新)H地块HD00-0401-0120、0132、0162地块二类城镇住宅用地、零售商业用地</v>
      </c>
      <c r="F7" s="3748"/>
      <c r="G7" s="3747" t="str">
        <f>土地案例!A9</f>
        <v>北京市海淀区海淀北部中关村翠湖科技园B地块土地一级开发项目HD00-0305-0024地块二类城镇住宅用地</v>
      </c>
      <c r="H7" s="3748"/>
      <c r="I7" s="3747" t="str">
        <f>土地案例!A17</f>
        <v>北京市海淀区西北旺镇HD00-0403街区永丰产业基地(新)F2地块HD00-0403-0013地块R2二类居住用地</v>
      </c>
      <c r="J7" s="3748"/>
      <c r="K7" s="464"/>
      <c r="L7" s="1739"/>
      <c r="M7" s="1738"/>
      <c r="N7" s="1738"/>
      <c r="O7" s="1740"/>
      <c r="P7" s="3740"/>
      <c r="Q7" s="3741"/>
      <c r="R7" s="3724"/>
      <c r="S7" s="3725"/>
      <c r="T7" s="3724"/>
      <c r="U7" s="3725"/>
      <c r="V7" s="3744"/>
      <c r="W7" s="3744"/>
      <c r="X7" s="1300"/>
      <c r="Y7" s="3724"/>
      <c r="Z7" s="3725"/>
      <c r="AA7" s="3718"/>
      <c r="AB7" s="3718"/>
      <c r="AC7" s="3718"/>
    </row>
    <row r="8" spans="1:29" ht="21" thickBot="1">
      <c r="A8" s="465"/>
      <c r="B8" s="466"/>
      <c r="C8" s="3750" t="s">
        <v>2187</v>
      </c>
      <c r="D8" s="3751"/>
      <c r="E8" s="3750" t="s">
        <v>2187</v>
      </c>
      <c r="F8" s="3751"/>
      <c r="G8" s="3745" t="s">
        <v>2187</v>
      </c>
      <c r="H8" s="3746"/>
      <c r="I8" s="3745" t="s">
        <v>2187</v>
      </c>
      <c r="J8" s="3746"/>
      <c r="K8" s="464" t="s">
        <v>477</v>
      </c>
      <c r="L8" s="1739"/>
      <c r="M8" s="1738"/>
      <c r="N8" s="1738"/>
      <c r="O8" s="1740"/>
      <c r="P8" s="3742"/>
      <c r="Q8" s="3743"/>
      <c r="R8" s="3724"/>
      <c r="S8" s="3725"/>
      <c r="T8" s="3726"/>
      <c r="U8" s="3727"/>
      <c r="V8" s="3744"/>
      <c r="W8" s="3744"/>
      <c r="X8" s="1300"/>
      <c r="Y8" s="3726"/>
      <c r="Z8" s="3727"/>
      <c r="AA8" s="3719"/>
      <c r="AB8" s="3719"/>
      <c r="AC8" s="3719"/>
    </row>
    <row r="9" spans="1:29" s="1057" customFormat="1" ht="21" thickBot="1">
      <c r="A9" s="2207"/>
      <c r="B9" s="2214" t="s">
        <v>478</v>
      </c>
      <c r="C9" s="2206">
        <f>'数据-取费表'!B2</f>
        <v>45616</v>
      </c>
      <c r="D9" s="470">
        <v>100</v>
      </c>
      <c r="E9" s="471" t="str">
        <f>土地案例!J4</f>
        <v>2024-07-25</v>
      </c>
      <c r="F9" s="472">
        <f>SUMIF(71:71,YEAR(E9)&amp;"-"&amp;INT((MONTH(E9)+2)/3),72:72)</f>
        <v>100</v>
      </c>
      <c r="G9" s="473" t="str">
        <f>土地案例!J9</f>
        <v>2024-02-22</v>
      </c>
      <c r="H9" s="470">
        <f>SUMIF(71:71,YEAR(G9)&amp;"-"&amp;INT((MONTH(G9)+2)/3),72:72)</f>
        <v>100</v>
      </c>
      <c r="I9" s="473" t="str">
        <f>土地案例!J17</f>
        <v>2022-09-23</v>
      </c>
      <c r="J9" s="470">
        <f>SUMIF(71:71,YEAR(I9)&amp;"-"&amp;INT((MONTH(I9)+2)/3),72:72)</f>
        <v>100</v>
      </c>
      <c r="K9" s="87"/>
      <c r="L9" s="1741"/>
      <c r="M9" s="1738"/>
      <c r="N9" s="1738"/>
      <c r="O9" s="1638"/>
      <c r="P9" s="3720" t="s">
        <v>479</v>
      </c>
      <c r="Q9" s="3729"/>
      <c r="R9" s="1301" t="s">
        <v>5</v>
      </c>
      <c r="S9" s="1302">
        <f t="shared" ref="S9:S17" si="0">F9</f>
        <v>100</v>
      </c>
      <c r="T9" s="1301" t="s">
        <v>5</v>
      </c>
      <c r="U9" s="1302">
        <f t="shared" ref="U9:U17" si="1">H9</f>
        <v>100</v>
      </c>
      <c r="V9" s="1301" t="s">
        <v>5</v>
      </c>
      <c r="W9" s="1302">
        <f t="shared" ref="W9:W17" si="2">J9</f>
        <v>100</v>
      </c>
      <c r="X9" s="1303"/>
      <c r="Y9" s="3720" t="s">
        <v>479</v>
      </c>
      <c r="Z9" s="3721"/>
      <c r="AA9" s="994">
        <f>D9/F9</f>
        <v>1</v>
      </c>
      <c r="AB9" s="994">
        <f>D9/H9</f>
        <v>1</v>
      </c>
      <c r="AC9" s="994">
        <f>D9/J9</f>
        <v>1</v>
      </c>
    </row>
    <row r="10" spans="1:29" s="1057"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20" t="s">
        <v>482</v>
      </c>
      <c r="Q10" s="3721"/>
      <c r="R10" s="1301" t="s">
        <v>5</v>
      </c>
      <c r="S10" s="1302">
        <f t="shared" si="0"/>
        <v>100</v>
      </c>
      <c r="T10" s="1301" t="s">
        <v>5</v>
      </c>
      <c r="U10" s="1302">
        <f t="shared" si="1"/>
        <v>100</v>
      </c>
      <c r="V10" s="1301" t="s">
        <v>5</v>
      </c>
      <c r="W10" s="1302">
        <f t="shared" si="2"/>
        <v>100</v>
      </c>
      <c r="X10" s="1303"/>
      <c r="Y10" s="3720" t="s">
        <v>482</v>
      </c>
      <c r="Z10" s="3721"/>
      <c r="AA10" s="994">
        <f t="shared" ref="AA10:AA47" si="3">D10/F10</f>
        <v>1</v>
      </c>
      <c r="AB10" s="994">
        <f t="shared" ref="AB10:AB47" si="4">D10/H10</f>
        <v>1</v>
      </c>
      <c r="AC10" s="994">
        <f t="shared" ref="AC10:AC47" si="5">D10/J10</f>
        <v>1</v>
      </c>
    </row>
    <row r="11" spans="1:29" s="1057" customFormat="1" ht="20.25">
      <c r="A11" s="2209"/>
      <c r="B11" s="2216" t="s">
        <v>2038</v>
      </c>
      <c r="C11" s="2203" t="s">
        <v>851</v>
      </c>
      <c r="D11" s="153">
        <v>100</v>
      </c>
      <c r="E11" s="475" t="s">
        <v>851</v>
      </c>
      <c r="F11" s="3523">
        <f>SUMIF(76:76,E11,77:77)-SUMIF(76:76,C11,77:77)+100</f>
        <v>100</v>
      </c>
      <c r="G11" s="2203" t="s">
        <v>851</v>
      </c>
      <c r="H11" s="153">
        <f>SUMIF(76:76,G11,77:77)-SUMIF(76:76,C11,77:77)+100</f>
        <v>100</v>
      </c>
      <c r="I11" s="2203" t="s">
        <v>851</v>
      </c>
      <c r="J11" s="153">
        <f>SUMIF(76:76,I11,77:77)-SUMIF(76:76,C11,77:77)+100</f>
        <v>100</v>
      </c>
      <c r="K11" s="87"/>
      <c r="L11" s="1741"/>
      <c r="M11" s="1738"/>
      <c r="N11" s="1738"/>
      <c r="O11" s="1742"/>
      <c r="P11" s="3728" t="s">
        <v>484</v>
      </c>
      <c r="Q11" s="815" t="str">
        <f t="shared" ref="Q11:Q17" si="6">B11</f>
        <v>用途</v>
      </c>
      <c r="R11" s="1301" t="s">
        <v>5</v>
      </c>
      <c r="S11" s="1302">
        <f t="shared" si="0"/>
        <v>100</v>
      </c>
      <c r="T11" s="1301" t="s">
        <v>5</v>
      </c>
      <c r="U11" s="1302">
        <f t="shared" si="1"/>
        <v>100</v>
      </c>
      <c r="V11" s="1301" t="s">
        <v>5</v>
      </c>
      <c r="W11" s="1302">
        <f t="shared" si="2"/>
        <v>100</v>
      </c>
      <c r="X11" s="1303"/>
      <c r="Y11" s="3680" t="s">
        <v>485</v>
      </c>
      <c r="Z11" s="994" t="str">
        <f t="shared" ref="Z11:Z17" si="7">Q11</f>
        <v>用途</v>
      </c>
      <c r="AA11" s="994">
        <f t="shared" si="3"/>
        <v>1</v>
      </c>
      <c r="AB11" s="994">
        <f t="shared" si="4"/>
        <v>1</v>
      </c>
      <c r="AC11" s="994">
        <f t="shared" si="5"/>
        <v>1</v>
      </c>
    </row>
    <row r="12" spans="1:29" s="1130" customFormat="1" ht="27">
      <c r="A12" s="2210"/>
      <c r="B12" s="2215" t="s">
        <v>2039</v>
      </c>
      <c r="C12" s="830"/>
      <c r="D12" s="234">
        <v>100</v>
      </c>
      <c r="E12" s="478"/>
      <c r="F12" s="234">
        <f>ROUND(100/'数据-取费表'!G16,0)</f>
        <v>100</v>
      </c>
      <c r="G12" s="479"/>
      <c r="H12" s="234">
        <f>ROUND(100/'数据-取费表'!G16,0)</f>
        <v>100</v>
      </c>
      <c r="I12" s="479"/>
      <c r="J12" s="234">
        <f>ROUND(100/'数据-取费表'!G16,0)</f>
        <v>100</v>
      </c>
      <c r="K12" s="480"/>
      <c r="L12" s="1743"/>
      <c r="M12" s="1738"/>
      <c r="N12" s="1738"/>
      <c r="O12" s="1744"/>
      <c r="P12" s="3728"/>
      <c r="Q12" s="815" t="str">
        <f t="shared" si="6"/>
        <v>土地使用年限（年）</v>
      </c>
      <c r="R12" s="1301" t="s">
        <v>5</v>
      </c>
      <c r="S12" s="1302">
        <f t="shared" si="0"/>
        <v>100</v>
      </c>
      <c r="T12" s="1301" t="s">
        <v>5</v>
      </c>
      <c r="U12" s="1302">
        <f t="shared" si="1"/>
        <v>100</v>
      </c>
      <c r="V12" s="1301" t="s">
        <v>5</v>
      </c>
      <c r="W12" s="1302">
        <f t="shared" si="2"/>
        <v>100</v>
      </c>
      <c r="X12" s="1303"/>
      <c r="Y12" s="3680"/>
      <c r="Z12" s="994" t="str">
        <f t="shared" si="7"/>
        <v>土地使用年限（年）</v>
      </c>
      <c r="AA12" s="994">
        <f t="shared" si="3"/>
        <v>1</v>
      </c>
      <c r="AB12" s="994">
        <f t="shared" si="4"/>
        <v>1</v>
      </c>
      <c r="AC12" s="994">
        <f t="shared" si="5"/>
        <v>1</v>
      </c>
    </row>
    <row r="13" spans="1:29" ht="20.25">
      <c r="A13" s="2211"/>
      <c r="B13" s="2215" t="s">
        <v>2040</v>
      </c>
      <c r="C13" s="483">
        <f>信息及取费!M31</f>
        <v>2.2000000000000002</v>
      </c>
      <c r="D13" s="234">
        <v>100</v>
      </c>
      <c r="E13" s="482">
        <v>2</v>
      </c>
      <c r="F13" s="234">
        <f>LOOKUP(E13,81:81,82:82)-LOOKUP(C13,81:81,82:82)+100</f>
        <v>100</v>
      </c>
      <c r="G13" s="483">
        <v>1.8</v>
      </c>
      <c r="H13" s="234">
        <f>LOOKUP(G13,81:81,82:82)-LOOKUP(C13,81:81,82:82)+100</f>
        <v>102</v>
      </c>
      <c r="I13" s="482">
        <v>1.5</v>
      </c>
      <c r="J13" s="234">
        <f>LOOKUP(I13,81:81,82:82)-LOOKUP(C13,81:81,82:82)+100</f>
        <v>102</v>
      </c>
      <c r="K13" s="484">
        <v>2</v>
      </c>
      <c r="L13" s="1745"/>
      <c r="M13" s="1738"/>
      <c r="N13" s="1738"/>
      <c r="O13" s="1746"/>
      <c r="P13" s="3728"/>
      <c r="Q13" s="815" t="str">
        <f t="shared" si="6"/>
        <v>容积率</v>
      </c>
      <c r="R13" s="1301" t="s">
        <v>5</v>
      </c>
      <c r="S13" s="1302">
        <f t="shared" si="0"/>
        <v>100</v>
      </c>
      <c r="T13" s="1301" t="s">
        <v>5</v>
      </c>
      <c r="U13" s="1302">
        <f t="shared" si="1"/>
        <v>102</v>
      </c>
      <c r="V13" s="1301" t="s">
        <v>5</v>
      </c>
      <c r="W13" s="1302">
        <f t="shared" si="2"/>
        <v>102</v>
      </c>
      <c r="X13" s="1303"/>
      <c r="Y13" s="3680"/>
      <c r="Z13" s="994" t="str">
        <f t="shared" si="7"/>
        <v>容积率</v>
      </c>
      <c r="AA13" s="994">
        <f t="shared" si="3"/>
        <v>1</v>
      </c>
      <c r="AB13" s="994">
        <f t="shared" si="4"/>
        <v>0.98039215686274506</v>
      </c>
      <c r="AC13" s="994">
        <f t="shared" si="5"/>
        <v>0.98039215686274506</v>
      </c>
    </row>
    <row r="14" spans="1:29" s="1057" customFormat="1" ht="20.25">
      <c r="A14" s="2208"/>
      <c r="B14" s="2217" t="s">
        <v>2041</v>
      </c>
      <c r="C14" s="2204"/>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28"/>
      <c r="Q14" s="815" t="str">
        <f t="shared" si="6"/>
        <v>配建</v>
      </c>
      <c r="R14" s="1301" t="s">
        <v>5</v>
      </c>
      <c r="S14" s="1302">
        <f t="shared" si="0"/>
        <v>100</v>
      </c>
      <c r="T14" s="1301" t="s">
        <v>5</v>
      </c>
      <c r="U14" s="1302">
        <f t="shared" si="1"/>
        <v>100</v>
      </c>
      <c r="V14" s="1301" t="s">
        <v>5</v>
      </c>
      <c r="W14" s="1302">
        <f t="shared" si="2"/>
        <v>100</v>
      </c>
      <c r="X14" s="1303"/>
      <c r="Y14" s="3680"/>
      <c r="Z14" s="994" t="str">
        <f t="shared" si="7"/>
        <v>配建</v>
      </c>
      <c r="AA14" s="994">
        <f>D14/F14</f>
        <v>1</v>
      </c>
      <c r="AB14" s="994">
        <f>D14/H14</f>
        <v>1</v>
      </c>
      <c r="AC14" s="994">
        <f>D14/J14</f>
        <v>1</v>
      </c>
    </row>
    <row r="15" spans="1:29" ht="20.25">
      <c r="A15" s="2212"/>
      <c r="B15" s="3533" t="s">
        <v>3765</v>
      </c>
      <c r="C15" s="3534">
        <v>93000</v>
      </c>
      <c r="D15" s="489">
        <v>100</v>
      </c>
      <c r="E15" s="3535">
        <v>90000</v>
      </c>
      <c r="F15" s="234">
        <f>SUMIF(85:85,E15,86:86)-SUMIF(85:85,C15,86:86)+100</f>
        <v>99</v>
      </c>
      <c r="G15" s="3536">
        <v>85000</v>
      </c>
      <c r="H15" s="489">
        <f>SUMIF(85:85,G15,86:86)-SUMIF(85:85,C15,86:86)+100</f>
        <v>98</v>
      </c>
      <c r="I15" s="3536">
        <v>85000</v>
      </c>
      <c r="J15" s="489">
        <f>SUMIF(85:85,I15,86:86)-SUMIF(85:85,C15,86:86)+100</f>
        <v>98</v>
      </c>
      <c r="K15" s="480"/>
      <c r="L15" s="1747"/>
      <c r="M15" s="1738"/>
      <c r="N15" s="1738"/>
      <c r="O15" s="1746"/>
      <c r="P15" s="3728"/>
      <c r="Q15" s="815" t="str">
        <f t="shared" si="6"/>
        <v>限售价</v>
      </c>
      <c r="R15" s="1301" t="s">
        <v>5</v>
      </c>
      <c r="S15" s="1302">
        <f t="shared" si="0"/>
        <v>99</v>
      </c>
      <c r="T15" s="1301" t="s">
        <v>5</v>
      </c>
      <c r="U15" s="1302">
        <f t="shared" si="1"/>
        <v>98</v>
      </c>
      <c r="V15" s="1301" t="s">
        <v>5</v>
      </c>
      <c r="W15" s="1302">
        <f t="shared" si="2"/>
        <v>98</v>
      </c>
      <c r="X15" s="1303"/>
      <c r="Y15" s="3680"/>
      <c r="Z15" s="994" t="str">
        <f t="shared" si="7"/>
        <v>限售价</v>
      </c>
      <c r="AA15" s="994">
        <f>D15/F15</f>
        <v>1.0101010101010102</v>
      </c>
      <c r="AB15" s="994">
        <f>D15/H15</f>
        <v>1.0204081632653061</v>
      </c>
      <c r="AC15" s="994">
        <f>D15/J15</f>
        <v>1.0204081632653061</v>
      </c>
    </row>
    <row r="16" spans="1:29" ht="21" thickBot="1">
      <c r="A16" s="2213"/>
      <c r="B16" s="2219">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28"/>
      <c r="Q16" s="815">
        <f t="shared" si="6"/>
        <v>111</v>
      </c>
      <c r="R16" s="1301" t="s">
        <v>5</v>
      </c>
      <c r="S16" s="1302">
        <f t="shared" si="0"/>
        <v>100</v>
      </c>
      <c r="T16" s="1301" t="s">
        <v>5</v>
      </c>
      <c r="U16" s="1302">
        <f t="shared" si="1"/>
        <v>100</v>
      </c>
      <c r="V16" s="1301" t="s">
        <v>5</v>
      </c>
      <c r="W16" s="1302">
        <f t="shared" si="2"/>
        <v>100</v>
      </c>
      <c r="X16" s="1303"/>
      <c r="Y16" s="3680"/>
      <c r="Z16" s="994">
        <f t="shared" si="7"/>
        <v>111</v>
      </c>
      <c r="AA16" s="994">
        <f>D16/F16</f>
        <v>1</v>
      </c>
      <c r="AB16" s="994">
        <f>D16/H16</f>
        <v>1</v>
      </c>
      <c r="AC16" s="994">
        <f>D16/J16</f>
        <v>1</v>
      </c>
    </row>
    <row r="17" spans="1:29" ht="99.75">
      <c r="A17" s="2205"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v>3</v>
      </c>
      <c r="L17" s="1747"/>
      <c r="M17" s="1738"/>
      <c r="N17" s="1738"/>
      <c r="O17" s="1746"/>
      <c r="P17" s="3730" t="s">
        <v>489</v>
      </c>
      <c r="Q17" s="1304" t="str">
        <f t="shared" si="6"/>
        <v>居住社区成熟度</v>
      </c>
      <c r="R17" s="1305" t="s">
        <v>5</v>
      </c>
      <c r="S17" s="1306">
        <f t="shared" si="0"/>
        <v>100</v>
      </c>
      <c r="T17" s="1305" t="s">
        <v>5</v>
      </c>
      <c r="U17" s="1306">
        <f t="shared" si="1"/>
        <v>100</v>
      </c>
      <c r="V17" s="1305" t="s">
        <v>5</v>
      </c>
      <c r="W17" s="1306">
        <f t="shared" si="2"/>
        <v>100</v>
      </c>
      <c r="X17" s="1300"/>
      <c r="Y17" s="3730" t="s">
        <v>489</v>
      </c>
      <c r="Z17" s="1307" t="str">
        <f t="shared" si="7"/>
        <v>居住社区成熟度</v>
      </c>
      <c r="AA17" s="1307">
        <f t="shared" si="3"/>
        <v>1</v>
      </c>
      <c r="AB17" s="1307">
        <f t="shared" si="4"/>
        <v>1</v>
      </c>
      <c r="AC17" s="1307">
        <f t="shared" si="5"/>
        <v>1</v>
      </c>
    </row>
    <row r="18" spans="1:29" ht="20.25">
      <c r="A18" s="481"/>
      <c r="B18" s="502"/>
      <c r="C18" s="503" t="s">
        <v>3686</v>
      </c>
      <c r="D18" s="506"/>
      <c r="E18" s="507" t="s">
        <v>3686</v>
      </c>
      <c r="F18" s="504"/>
      <c r="G18" s="507" t="s">
        <v>3686</v>
      </c>
      <c r="H18" s="508"/>
      <c r="I18" s="507" t="s">
        <v>3686</v>
      </c>
      <c r="J18" s="504"/>
      <c r="K18" s="480"/>
      <c r="L18" s="1747"/>
      <c r="M18" s="1738"/>
      <c r="N18" s="1738"/>
      <c r="O18" s="1746"/>
      <c r="P18" s="3731"/>
      <c r="Q18" s="1304"/>
      <c r="R18" s="1305"/>
      <c r="S18" s="1306"/>
      <c r="T18" s="1305"/>
      <c r="U18" s="1306"/>
      <c r="V18" s="1305"/>
      <c r="W18" s="1306"/>
      <c r="X18" s="1300"/>
      <c r="Y18" s="3731"/>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731"/>
      <c r="Q19" s="1304" t="str">
        <f>B19</f>
        <v>商业繁华度</v>
      </c>
      <c r="R19" s="1305" t="s">
        <v>5</v>
      </c>
      <c r="S19" s="1306">
        <f>F19</f>
        <v>100</v>
      </c>
      <c r="T19" s="1305" t="s">
        <v>5</v>
      </c>
      <c r="U19" s="1306">
        <f>H19</f>
        <v>100</v>
      </c>
      <c r="V19" s="1305" t="s">
        <v>5</v>
      </c>
      <c r="W19" s="1306">
        <f>J19</f>
        <v>100</v>
      </c>
      <c r="X19" s="1300"/>
      <c r="Y19" s="3731"/>
      <c r="Z19" s="1307" t="str">
        <f>Q19</f>
        <v>商业繁华度</v>
      </c>
      <c r="AA19" s="1307">
        <f t="shared" si="3"/>
        <v>1</v>
      </c>
      <c r="AB19" s="1307">
        <f t="shared" si="4"/>
        <v>1</v>
      </c>
      <c r="AC19" s="1307">
        <f t="shared" si="5"/>
        <v>1</v>
      </c>
    </row>
    <row r="20" spans="1:29" ht="20.25">
      <c r="A20" s="481"/>
      <c r="B20" s="515"/>
      <c r="C20" s="516"/>
      <c r="D20" s="512"/>
      <c r="E20" s="518"/>
      <c r="F20" s="508"/>
      <c r="G20" s="517"/>
      <c r="H20" s="504"/>
      <c r="I20" s="518"/>
      <c r="J20" s="504"/>
      <c r="K20" s="480"/>
      <c r="L20" s="1747"/>
      <c r="M20" s="1738"/>
      <c r="N20" s="1738"/>
      <c r="O20" s="1746"/>
      <c r="P20" s="3731"/>
      <c r="Q20" s="1304"/>
      <c r="R20" s="1305"/>
      <c r="S20" s="1306"/>
      <c r="T20" s="1305"/>
      <c r="U20" s="1306"/>
      <c r="V20" s="1305"/>
      <c r="W20" s="1306"/>
      <c r="X20" s="1300"/>
      <c r="Y20" s="3731"/>
      <c r="Z20" s="1307"/>
      <c r="AA20" s="1307">
        <v>1</v>
      </c>
      <c r="AB20" s="1307">
        <v>1</v>
      </c>
      <c r="AC20" s="1307">
        <v>1</v>
      </c>
    </row>
    <row r="21" spans="1:29" ht="71.25">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31"/>
      <c r="Q21" s="1304" t="str">
        <f>B21</f>
        <v>办公集聚程度</v>
      </c>
      <c r="R21" s="1305" t="s">
        <v>5</v>
      </c>
      <c r="S21" s="1306">
        <f>F21</f>
        <v>100</v>
      </c>
      <c r="T21" s="1305" t="s">
        <v>5</v>
      </c>
      <c r="U21" s="1306">
        <f>H21</f>
        <v>100</v>
      </c>
      <c r="V21" s="1305" t="s">
        <v>5</v>
      </c>
      <c r="W21" s="1306">
        <f>J21</f>
        <v>100</v>
      </c>
      <c r="X21" s="1300"/>
      <c r="Y21" s="3731"/>
      <c r="Z21" s="1307" t="str">
        <f>Q21</f>
        <v>办公集聚程度</v>
      </c>
      <c r="AA21" s="1307">
        <f t="shared" si="3"/>
        <v>1</v>
      </c>
      <c r="AB21" s="1307">
        <f t="shared" si="4"/>
        <v>1</v>
      </c>
      <c r="AC21" s="1307">
        <f t="shared" si="5"/>
        <v>1</v>
      </c>
    </row>
    <row r="22" spans="1:29" ht="20.25">
      <c r="A22" s="481"/>
      <c r="B22" s="515"/>
      <c r="C22" s="503"/>
      <c r="D22" s="506"/>
      <c r="E22" s="507"/>
      <c r="F22" s="504"/>
      <c r="G22" s="505"/>
      <c r="H22" s="504"/>
      <c r="I22" s="507"/>
      <c r="J22" s="504"/>
      <c r="K22" s="480"/>
      <c r="L22" s="1747"/>
      <c r="M22" s="1738"/>
      <c r="N22" s="1738"/>
      <c r="O22" s="1746"/>
      <c r="P22" s="3731"/>
      <c r="Q22" s="1304"/>
      <c r="R22" s="1305"/>
      <c r="S22" s="1306"/>
      <c r="T22" s="1305"/>
      <c r="U22" s="1306"/>
      <c r="V22" s="1305"/>
      <c r="W22" s="1306"/>
      <c r="X22" s="1300"/>
      <c r="Y22" s="3731"/>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31"/>
      <c r="Q23" s="1304" t="str">
        <f>B23</f>
        <v>交通便捷度</v>
      </c>
      <c r="R23" s="1305" t="s">
        <v>5</v>
      </c>
      <c r="S23" s="1306">
        <f>F23</f>
        <v>97</v>
      </c>
      <c r="T23" s="1305" t="s">
        <v>5</v>
      </c>
      <c r="U23" s="1306">
        <f>H23</f>
        <v>97</v>
      </c>
      <c r="V23" s="1305" t="s">
        <v>5</v>
      </c>
      <c r="W23" s="1306">
        <f>J23</f>
        <v>97</v>
      </c>
      <c r="X23" s="1300"/>
      <c r="Y23" s="3731"/>
      <c r="Z23" s="1307" t="str">
        <f>Q23</f>
        <v>交通便捷度</v>
      </c>
      <c r="AA23" s="1307">
        <f t="shared" si="3"/>
        <v>1.0309278350515463</v>
      </c>
      <c r="AB23" s="1307">
        <f t="shared" si="4"/>
        <v>1.0309278350515463</v>
      </c>
      <c r="AC23" s="1307">
        <f t="shared" si="5"/>
        <v>1.0309278350515463</v>
      </c>
    </row>
    <row r="24" spans="1:29" ht="20.25">
      <c r="A24" s="481"/>
      <c r="B24" s="527"/>
      <c r="C24" s="503" t="s">
        <v>3685</v>
      </c>
      <c r="D24" s="506"/>
      <c r="E24" s="507" t="s">
        <v>3686</v>
      </c>
      <c r="F24" s="504"/>
      <c r="G24" s="507" t="s">
        <v>3686</v>
      </c>
      <c r="H24" s="504"/>
      <c r="I24" s="507" t="s">
        <v>3686</v>
      </c>
      <c r="J24" s="504"/>
      <c r="K24" s="480"/>
      <c r="L24" s="1747"/>
      <c r="M24" s="1738"/>
      <c r="N24" s="1738"/>
      <c r="O24" s="1746"/>
      <c r="P24" s="3731"/>
      <c r="Q24" s="1304"/>
      <c r="R24" s="1305"/>
      <c r="S24" s="1306"/>
      <c r="T24" s="1305"/>
      <c r="U24" s="1306"/>
      <c r="V24" s="1305"/>
      <c r="W24" s="1306"/>
      <c r="X24" s="1300"/>
      <c r="Y24" s="3731"/>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31"/>
      <c r="Q25" s="1304" t="str">
        <f t="shared" ref="Q25:Q39" si="8">B25</f>
        <v>区域土地利用方向</v>
      </c>
      <c r="R25" s="1305" t="s">
        <v>5</v>
      </c>
      <c r="S25" s="1306">
        <f>F25</f>
        <v>100</v>
      </c>
      <c r="T25" s="1305" t="s">
        <v>5</v>
      </c>
      <c r="U25" s="1306">
        <f>H25</f>
        <v>100</v>
      </c>
      <c r="V25" s="1305" t="s">
        <v>5</v>
      </c>
      <c r="W25" s="1306">
        <f>J25</f>
        <v>100</v>
      </c>
      <c r="X25" s="1300"/>
      <c r="Y25" s="3731"/>
      <c r="Z25" s="1307" t="str">
        <f>Q25</f>
        <v>区域土地利用方向</v>
      </c>
      <c r="AA25" s="1307">
        <f t="shared" si="3"/>
        <v>1</v>
      </c>
      <c r="AB25" s="1307">
        <f t="shared" si="4"/>
        <v>1</v>
      </c>
      <c r="AC25" s="1307">
        <f t="shared" si="5"/>
        <v>1</v>
      </c>
    </row>
    <row r="26" spans="1:29" ht="20.25">
      <c r="A26" s="465"/>
      <c r="B26" s="916"/>
      <c r="C26" s="503" t="s">
        <v>3685</v>
      </c>
      <c r="D26" s="506"/>
      <c r="E26" s="503" t="s">
        <v>3685</v>
      </c>
      <c r="F26" s="504"/>
      <c r="G26" s="503" t="s">
        <v>3685</v>
      </c>
      <c r="H26" s="504"/>
      <c r="I26" s="503" t="s">
        <v>3685</v>
      </c>
      <c r="J26" s="504"/>
      <c r="K26" s="480"/>
      <c r="L26" s="1747"/>
      <c r="M26" s="1738"/>
      <c r="N26" s="1738"/>
      <c r="O26" s="1746"/>
      <c r="P26" s="3731"/>
      <c r="Q26" s="1304"/>
      <c r="R26" s="1305"/>
      <c r="S26" s="1306"/>
      <c r="T26" s="1305"/>
      <c r="U26" s="1306"/>
      <c r="V26" s="1305"/>
      <c r="W26" s="1306"/>
      <c r="X26" s="1300"/>
      <c r="Y26" s="3731"/>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31"/>
      <c r="Q27" s="1304" t="str">
        <f t="shared" si="8"/>
        <v>自然及人文环境状况</v>
      </c>
      <c r="R27" s="1305" t="s">
        <v>5</v>
      </c>
      <c r="S27" s="1306">
        <f>F27</f>
        <v>100</v>
      </c>
      <c r="T27" s="1305" t="s">
        <v>5</v>
      </c>
      <c r="U27" s="1306">
        <f>H27</f>
        <v>100</v>
      </c>
      <c r="V27" s="1305" t="s">
        <v>5</v>
      </c>
      <c r="W27" s="1306">
        <f>J27</f>
        <v>100</v>
      </c>
      <c r="X27" s="1300"/>
      <c r="Y27" s="3731"/>
      <c r="Z27" s="1307" t="str">
        <f>Q27</f>
        <v>自然及人文环境状况</v>
      </c>
      <c r="AA27" s="1307">
        <f t="shared" si="3"/>
        <v>1</v>
      </c>
      <c r="AB27" s="1307">
        <f t="shared" si="4"/>
        <v>1</v>
      </c>
      <c r="AC27" s="1307">
        <f t="shared" si="5"/>
        <v>1</v>
      </c>
    </row>
    <row r="28" spans="1:29" ht="20.25">
      <c r="A28" s="465"/>
      <c r="B28" s="515"/>
      <c r="C28" s="503" t="s">
        <v>3686</v>
      </c>
      <c r="D28" s="506"/>
      <c r="E28" s="503" t="s">
        <v>3686</v>
      </c>
      <c r="F28" s="504"/>
      <c r="G28" s="503" t="s">
        <v>3686</v>
      </c>
      <c r="H28" s="504"/>
      <c r="I28" s="503" t="s">
        <v>3686</v>
      </c>
      <c r="J28" s="504"/>
      <c r="K28" s="480"/>
      <c r="L28" s="1747"/>
      <c r="M28" s="1738"/>
      <c r="N28" s="1738"/>
      <c r="O28" s="1746"/>
      <c r="P28" s="3731"/>
      <c r="Q28" s="1304"/>
      <c r="R28" s="1305"/>
      <c r="S28" s="1306"/>
      <c r="T28" s="1305"/>
      <c r="U28" s="1306"/>
      <c r="V28" s="1305"/>
      <c r="W28" s="1306"/>
      <c r="X28" s="1300"/>
      <c r="Y28" s="3731"/>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31"/>
      <c r="Q29" s="815" t="str">
        <f t="shared" si="8"/>
        <v>公共配套设施</v>
      </c>
      <c r="R29" s="1301" t="s">
        <v>5</v>
      </c>
      <c r="S29" s="1302">
        <f>F29</f>
        <v>100</v>
      </c>
      <c r="T29" s="1301" t="s">
        <v>5</v>
      </c>
      <c r="U29" s="1302">
        <f>H29</f>
        <v>100</v>
      </c>
      <c r="V29" s="1301" t="s">
        <v>5</v>
      </c>
      <c r="W29" s="1302">
        <f>J29</f>
        <v>100</v>
      </c>
      <c r="X29" s="1303"/>
      <c r="Y29" s="3731"/>
      <c r="Z29" s="994" t="str">
        <f>Q29</f>
        <v>公共配套设施</v>
      </c>
      <c r="AA29" s="1307">
        <f>D29/F29</f>
        <v>1</v>
      </c>
      <c r="AB29" s="1307">
        <f>D29/H29</f>
        <v>1</v>
      </c>
      <c r="AC29" s="1307">
        <f>D29/J29</f>
        <v>1</v>
      </c>
    </row>
    <row r="30" spans="1:29" s="1057" customFormat="1" ht="20.25">
      <c r="A30" s="526"/>
      <c r="B30" s="515"/>
      <c r="C30" s="528" t="s">
        <v>3686</v>
      </c>
      <c r="D30" s="506"/>
      <c r="E30" s="528" t="s">
        <v>3686</v>
      </c>
      <c r="F30" s="504"/>
      <c r="G30" s="528" t="s">
        <v>3686</v>
      </c>
      <c r="H30" s="504"/>
      <c r="I30" s="528" t="s">
        <v>3686</v>
      </c>
      <c r="J30" s="504"/>
      <c r="K30" s="480"/>
      <c r="L30" s="1741"/>
      <c r="M30" s="1738"/>
      <c r="N30" s="1738"/>
      <c r="O30" s="1742"/>
      <c r="P30" s="3731"/>
      <c r="Q30" s="815"/>
      <c r="R30" s="1301"/>
      <c r="S30" s="1302"/>
      <c r="T30" s="1301"/>
      <c r="U30" s="1302"/>
      <c r="V30" s="1301"/>
      <c r="W30" s="1302"/>
      <c r="X30" s="1303"/>
      <c r="Y30" s="3731"/>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31"/>
      <c r="Q31" s="815" t="str">
        <f>B31</f>
        <v>基础设施水平</v>
      </c>
      <c r="R31" s="1301" t="s">
        <v>5</v>
      </c>
      <c r="S31" s="1302">
        <f>F31</f>
        <v>100</v>
      </c>
      <c r="T31" s="1301" t="s">
        <v>5</v>
      </c>
      <c r="U31" s="1302">
        <f>H31</f>
        <v>100</v>
      </c>
      <c r="V31" s="1301" t="s">
        <v>5</v>
      </c>
      <c r="W31" s="1302">
        <f>J31</f>
        <v>100</v>
      </c>
      <c r="X31" s="1303"/>
      <c r="Y31" s="3731"/>
      <c r="Z31" s="994" t="str">
        <f>Q31</f>
        <v>基础设施水平</v>
      </c>
      <c r="AA31" s="1307">
        <f>D31/F31</f>
        <v>1</v>
      </c>
      <c r="AB31" s="1307">
        <f>D31/H31</f>
        <v>1</v>
      </c>
      <c r="AC31" s="1307">
        <f>D31/J31</f>
        <v>1</v>
      </c>
    </row>
    <row r="32" spans="1:29" s="1057" customFormat="1" ht="20.25">
      <c r="A32" s="526"/>
      <c r="B32" s="515"/>
      <c r="C32" s="528" t="s">
        <v>3679</v>
      </c>
      <c r="D32" s="506"/>
      <c r="E32" s="528" t="s">
        <v>3679</v>
      </c>
      <c r="F32" s="504"/>
      <c r="G32" s="528" t="s">
        <v>3679</v>
      </c>
      <c r="H32" s="504"/>
      <c r="I32" s="528" t="s">
        <v>3679</v>
      </c>
      <c r="J32" s="504"/>
      <c r="K32" s="480"/>
      <c r="L32" s="1741"/>
      <c r="M32" s="1738"/>
      <c r="N32" s="1738"/>
      <c r="O32" s="1742"/>
      <c r="P32" s="3731"/>
      <c r="Q32" s="815"/>
      <c r="R32" s="1301"/>
      <c r="S32" s="1302"/>
      <c r="T32" s="1301"/>
      <c r="U32" s="1302"/>
      <c r="V32" s="1301"/>
      <c r="W32" s="1302"/>
      <c r="X32" s="1303"/>
      <c r="Y32" s="3731"/>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31"/>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31"/>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31"/>
      <c r="Q34" s="1304" t="str">
        <f t="shared" si="8"/>
        <v>毗邻道路的类型与等级</v>
      </c>
      <c r="R34" s="1305" t="s">
        <v>5</v>
      </c>
      <c r="S34" s="1306">
        <f t="shared" si="9"/>
        <v>100</v>
      </c>
      <c r="T34" s="1305" t="s">
        <v>5</v>
      </c>
      <c r="U34" s="1306">
        <f t="shared" si="10"/>
        <v>100</v>
      </c>
      <c r="V34" s="1305" t="s">
        <v>5</v>
      </c>
      <c r="W34" s="1306">
        <f t="shared" si="11"/>
        <v>100</v>
      </c>
      <c r="X34" s="1300"/>
      <c r="Y34" s="3731"/>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31"/>
      <c r="Q35" s="1304"/>
      <c r="R35" s="1305"/>
      <c r="S35" s="1306"/>
      <c r="T35" s="1305"/>
      <c r="U35" s="1306"/>
      <c r="V35" s="1305"/>
      <c r="W35" s="1306"/>
      <c r="X35" s="1300"/>
      <c r="Y35" s="3731"/>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31"/>
      <c r="Q36" s="1304" t="str">
        <f t="shared" si="8"/>
        <v>土地级别</v>
      </c>
      <c r="R36" s="1305" t="s">
        <v>5</v>
      </c>
      <c r="S36" s="1306">
        <f t="shared" si="9"/>
        <v>100</v>
      </c>
      <c r="T36" s="1305" t="s">
        <v>5</v>
      </c>
      <c r="U36" s="1306">
        <f t="shared" si="10"/>
        <v>100</v>
      </c>
      <c r="V36" s="1305" t="s">
        <v>5</v>
      </c>
      <c r="W36" s="1306">
        <f t="shared" si="11"/>
        <v>100</v>
      </c>
      <c r="X36" s="1300"/>
      <c r="Y36" s="3731"/>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31"/>
      <c r="Q37" s="1304">
        <f t="shared" si="8"/>
        <v>111</v>
      </c>
      <c r="R37" s="1305" t="s">
        <v>5</v>
      </c>
      <c r="S37" s="1306">
        <f t="shared" si="9"/>
        <v>100</v>
      </c>
      <c r="T37" s="1305" t="s">
        <v>5</v>
      </c>
      <c r="U37" s="1306">
        <f t="shared" si="10"/>
        <v>100</v>
      </c>
      <c r="V37" s="1305" t="s">
        <v>5</v>
      </c>
      <c r="W37" s="1306">
        <f t="shared" si="11"/>
        <v>100</v>
      </c>
      <c r="X37" s="1300"/>
      <c r="Y37" s="3731"/>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32" t="s">
        <v>499</v>
      </c>
      <c r="Q38" s="1304">
        <f t="shared" si="8"/>
        <v>111</v>
      </c>
      <c r="R38" s="1305" t="s">
        <v>5</v>
      </c>
      <c r="S38" s="1306">
        <f t="shared" si="9"/>
        <v>100</v>
      </c>
      <c r="T38" s="1305" t="s">
        <v>5</v>
      </c>
      <c r="U38" s="1306">
        <f t="shared" si="10"/>
        <v>100</v>
      </c>
      <c r="V38" s="1305" t="s">
        <v>5</v>
      </c>
      <c r="W38" s="1306">
        <f t="shared" si="11"/>
        <v>100</v>
      </c>
      <c r="X38" s="1300"/>
      <c r="Y38" s="3733"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33"/>
      <c r="Q39" s="1304">
        <f t="shared" si="8"/>
        <v>111</v>
      </c>
      <c r="R39" s="1308" t="s">
        <v>5</v>
      </c>
      <c r="S39" s="1309">
        <f t="shared" si="9"/>
        <v>100</v>
      </c>
      <c r="T39" s="1308" t="s">
        <v>5</v>
      </c>
      <c r="U39" s="1309">
        <f t="shared" si="10"/>
        <v>100</v>
      </c>
      <c r="V39" s="1308" t="s">
        <v>5</v>
      </c>
      <c r="W39" s="1309">
        <f t="shared" si="11"/>
        <v>100</v>
      </c>
      <c r="X39" s="1310"/>
      <c r="Y39" s="3733"/>
      <c r="Z39" s="1311">
        <f t="shared" si="12"/>
        <v>111</v>
      </c>
      <c r="AA39" s="1307">
        <f t="shared" si="3"/>
        <v>1</v>
      </c>
      <c r="AB39" s="1307">
        <f t="shared" si="4"/>
        <v>1</v>
      </c>
      <c r="AC39" s="1307">
        <f t="shared" si="5"/>
        <v>1</v>
      </c>
    </row>
    <row r="40" spans="1:29" ht="20.25">
      <c r="A40" s="2202" t="s">
        <v>2037</v>
      </c>
      <c r="B40" s="543" t="s">
        <v>501</v>
      </c>
      <c r="C40" s="544">
        <f>'数据-汇总表'!D3</f>
        <v>21822.21</v>
      </c>
      <c r="D40" s="545">
        <v>100</v>
      </c>
      <c r="E40" s="544">
        <f>土地案例!C4</f>
        <v>85584.57</v>
      </c>
      <c r="F40" s="545">
        <f>LOOKUP(E40,118:118,119:119)-LOOKUP(C40,118:118,119:119)+100</f>
        <v>103</v>
      </c>
      <c r="G40" s="544">
        <f>土地案例!C9</f>
        <v>25268.17</v>
      </c>
      <c r="H40" s="545">
        <f>LOOKUP(G40,118:118,119:119)-LOOKUP(C40,118:118,119:119)+100</f>
        <v>100</v>
      </c>
      <c r="I40" s="546">
        <f>土地案例!C17</f>
        <v>47827.06</v>
      </c>
      <c r="J40" s="545">
        <f>LOOKUP(I40,118:118,119:119)-LOOKUP(C40,118:118,119:119)+100</f>
        <v>101</v>
      </c>
      <c r="K40" s="530"/>
      <c r="L40" s="1747"/>
      <c r="M40" s="1738"/>
      <c r="N40" s="1738"/>
      <c r="O40" s="1746"/>
      <c r="P40" s="3733"/>
      <c r="Q40" s="1304" t="str">
        <f>B40</f>
        <v>宗地面积</v>
      </c>
      <c r="R40" s="1305" t="s">
        <v>5</v>
      </c>
      <c r="S40" s="1306">
        <f t="shared" si="9"/>
        <v>103</v>
      </c>
      <c r="T40" s="1305" t="s">
        <v>5</v>
      </c>
      <c r="U40" s="1306">
        <f t="shared" si="10"/>
        <v>100</v>
      </c>
      <c r="V40" s="1305" t="s">
        <v>5</v>
      </c>
      <c r="W40" s="1306">
        <f t="shared" si="11"/>
        <v>101</v>
      </c>
      <c r="X40" s="1300"/>
      <c r="Y40" s="3733"/>
      <c r="Z40" s="1307" t="str">
        <f t="shared" si="12"/>
        <v>宗地面积</v>
      </c>
      <c r="AA40" s="1307">
        <f t="shared" si="3"/>
        <v>0.970873786407767</v>
      </c>
      <c r="AB40" s="1307">
        <f t="shared" si="4"/>
        <v>1</v>
      </c>
      <c r="AC40" s="1307">
        <f t="shared" si="5"/>
        <v>0.99009900990099009</v>
      </c>
    </row>
    <row r="41" spans="1:29" ht="20.25">
      <c r="A41" s="542"/>
      <c r="B41" s="476" t="s">
        <v>502</v>
      </c>
      <c r="C41" s="547" t="s">
        <v>3689</v>
      </c>
      <c r="D41" s="489">
        <v>100</v>
      </c>
      <c r="E41" s="547" t="s">
        <v>3678</v>
      </c>
      <c r="F41" s="489">
        <f>SUMIF(120:120,E41,121:121)-SUMIF(120:120,C41,121:121)+100</f>
        <v>98</v>
      </c>
      <c r="G41" s="547" t="s">
        <v>3689</v>
      </c>
      <c r="H41" s="489">
        <f>SUMIF(120:120,G41,121:121)-SUMIF(120:120,C41,121:121)+100</f>
        <v>100</v>
      </c>
      <c r="I41" s="547" t="s">
        <v>3678</v>
      </c>
      <c r="J41" s="489">
        <f>SUMIF(120:120,I41,121:121)-SUMIF(120:120,C41,121:121)+100</f>
        <v>98</v>
      </c>
      <c r="K41" s="532">
        <v>2</v>
      </c>
      <c r="L41" s="1747"/>
      <c r="M41" s="1738"/>
      <c r="N41" s="1738"/>
      <c r="O41" s="1746"/>
      <c r="P41" s="3733"/>
      <c r="Q41" s="1304" t="str">
        <f t="shared" ref="Q41:Q47" si="13">B41</f>
        <v>宗地形状</v>
      </c>
      <c r="R41" s="1305" t="s">
        <v>5</v>
      </c>
      <c r="S41" s="1306">
        <f t="shared" si="9"/>
        <v>98</v>
      </c>
      <c r="T41" s="1305" t="s">
        <v>5</v>
      </c>
      <c r="U41" s="1306">
        <f t="shared" si="10"/>
        <v>100</v>
      </c>
      <c r="V41" s="1305" t="s">
        <v>5</v>
      </c>
      <c r="W41" s="1306">
        <f t="shared" si="11"/>
        <v>98</v>
      </c>
      <c r="X41" s="1300"/>
      <c r="Y41" s="3733"/>
      <c r="Z41" s="1307" t="str">
        <f t="shared" si="12"/>
        <v>宗地形状</v>
      </c>
      <c r="AA41" s="1307">
        <f t="shared" si="3"/>
        <v>1.0204081632653061</v>
      </c>
      <c r="AB41" s="1307">
        <f t="shared" si="4"/>
        <v>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33"/>
      <c r="Q42" s="1304" t="str">
        <f t="shared" si="13"/>
        <v>临街宽度及深度</v>
      </c>
      <c r="R42" s="1305" t="s">
        <v>5</v>
      </c>
      <c r="S42" s="1306">
        <f t="shared" si="9"/>
        <v>100</v>
      </c>
      <c r="T42" s="1305" t="s">
        <v>5</v>
      </c>
      <c r="U42" s="1306">
        <f t="shared" si="10"/>
        <v>100</v>
      </c>
      <c r="V42" s="1305" t="s">
        <v>5</v>
      </c>
      <c r="W42" s="1306">
        <f t="shared" si="11"/>
        <v>100</v>
      </c>
      <c r="X42" s="1300"/>
      <c r="Y42" s="3733"/>
      <c r="Z42" s="1307" t="str">
        <f t="shared" si="12"/>
        <v>临街宽度及深度</v>
      </c>
      <c r="AA42" s="1307">
        <f t="shared" si="3"/>
        <v>1</v>
      </c>
      <c r="AB42" s="1307">
        <f t="shared" si="4"/>
        <v>1</v>
      </c>
      <c r="AC42" s="1307">
        <f t="shared" si="5"/>
        <v>1</v>
      </c>
    </row>
    <row r="43" spans="1:29" s="1057" customFormat="1" ht="20.25">
      <c r="A43" s="548"/>
      <c r="B43" s="1552" t="s">
        <v>1776</v>
      </c>
      <c r="C43" s="549" t="s">
        <v>3681</v>
      </c>
      <c r="D43" s="234">
        <v>100</v>
      </c>
      <c r="E43" s="549" t="s">
        <v>3681</v>
      </c>
      <c r="F43" s="489">
        <f>SUMIF(124:124,E43,125:125)-SUMIF(124:124,C43,125:125)+100</f>
        <v>100</v>
      </c>
      <c r="G43" s="549" t="s">
        <v>3681</v>
      </c>
      <c r="H43" s="489">
        <f>SUMIF(124:124,G43,125:125)-SUMIF(124:124,C43,125:125)+100</f>
        <v>100</v>
      </c>
      <c r="I43" s="549" t="s">
        <v>3681</v>
      </c>
      <c r="J43" s="489">
        <f>SUMIF(124:124,I43,125:125)-SUMIF(124:124,C43,125:125)+100</f>
        <v>100</v>
      </c>
      <c r="K43" s="532">
        <v>1</v>
      </c>
      <c r="L43" s="1741"/>
      <c r="M43" s="1738"/>
      <c r="N43" s="1738"/>
      <c r="O43" s="1742"/>
      <c r="P43" s="3733"/>
      <c r="Q43" s="1304" t="str">
        <f t="shared" si="13"/>
        <v>宗地开发程度</v>
      </c>
      <c r="R43" s="1301" t="s">
        <v>5</v>
      </c>
      <c r="S43" s="1302">
        <f t="shared" si="9"/>
        <v>100</v>
      </c>
      <c r="T43" s="1301" t="s">
        <v>5</v>
      </c>
      <c r="U43" s="1302">
        <f t="shared" si="10"/>
        <v>100</v>
      </c>
      <c r="V43" s="1301" t="s">
        <v>5</v>
      </c>
      <c r="W43" s="1302">
        <f t="shared" si="11"/>
        <v>100</v>
      </c>
      <c r="X43" s="1303"/>
      <c r="Y43" s="3733"/>
      <c r="Z43" s="994" t="str">
        <f t="shared" si="12"/>
        <v>宗地开发程度</v>
      </c>
      <c r="AA43" s="994">
        <f t="shared" si="3"/>
        <v>1</v>
      </c>
      <c r="AB43" s="994">
        <f t="shared" si="4"/>
        <v>1</v>
      </c>
      <c r="AC43" s="994">
        <f t="shared" si="5"/>
        <v>1</v>
      </c>
    </row>
    <row r="44" spans="1:29" ht="20.25">
      <c r="A44" s="542"/>
      <c r="B44" s="476" t="s">
        <v>504</v>
      </c>
      <c r="C44" s="547" t="s">
        <v>3685</v>
      </c>
      <c r="D44" s="489">
        <v>100</v>
      </c>
      <c r="E44" s="547" t="s">
        <v>3685</v>
      </c>
      <c r="F44" s="489">
        <f>SUMIF(126:126,E44,127:127)-SUMIF(126:126,C44,127:127)+100</f>
        <v>100</v>
      </c>
      <c r="G44" s="547" t="s">
        <v>3685</v>
      </c>
      <c r="H44" s="489">
        <f>SUMIF(126:126,G44,127:127)-SUMIF(126:126,C44,127:127)+100</f>
        <v>100</v>
      </c>
      <c r="I44" s="547" t="s">
        <v>3685</v>
      </c>
      <c r="J44" s="489">
        <f>SUMIF(126:126,I44,127:127)-SUMIF(126:126,C44,127:127)+100</f>
        <v>100</v>
      </c>
      <c r="K44" s="532">
        <v>2</v>
      </c>
      <c r="L44" s="1747"/>
      <c r="M44" s="1738"/>
      <c r="N44" s="1738"/>
      <c r="O44" s="1746"/>
      <c r="P44" s="3733" t="s">
        <v>499</v>
      </c>
      <c r="Q44" s="1304" t="str">
        <f t="shared" si="13"/>
        <v>工程地质条件</v>
      </c>
      <c r="R44" s="1305" t="s">
        <v>5</v>
      </c>
      <c r="S44" s="1306">
        <f t="shared" si="9"/>
        <v>100</v>
      </c>
      <c r="T44" s="1305" t="s">
        <v>5</v>
      </c>
      <c r="U44" s="1306">
        <f t="shared" si="10"/>
        <v>100</v>
      </c>
      <c r="V44" s="1305" t="s">
        <v>5</v>
      </c>
      <c r="W44" s="1306">
        <f t="shared" si="11"/>
        <v>100</v>
      </c>
      <c r="X44" s="1300"/>
      <c r="Y44" s="3733"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33"/>
      <c r="Q45" s="1304">
        <f t="shared" si="13"/>
        <v>111</v>
      </c>
      <c r="R45" s="1305" t="s">
        <v>5</v>
      </c>
      <c r="S45" s="1306">
        <f t="shared" si="9"/>
        <v>100</v>
      </c>
      <c r="T45" s="1305" t="s">
        <v>5</v>
      </c>
      <c r="U45" s="1306">
        <f t="shared" si="10"/>
        <v>100</v>
      </c>
      <c r="V45" s="1305" t="s">
        <v>5</v>
      </c>
      <c r="W45" s="1306">
        <f t="shared" si="11"/>
        <v>100</v>
      </c>
      <c r="X45" s="1300"/>
      <c r="Y45" s="3733"/>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33"/>
      <c r="Q46" s="1304">
        <f t="shared" si="13"/>
        <v>111</v>
      </c>
      <c r="R46" s="1305" t="s">
        <v>5</v>
      </c>
      <c r="S46" s="1306">
        <f t="shared" si="9"/>
        <v>100</v>
      </c>
      <c r="T46" s="1305" t="s">
        <v>5</v>
      </c>
      <c r="U46" s="1306">
        <f t="shared" si="10"/>
        <v>100</v>
      </c>
      <c r="V46" s="1305" t="s">
        <v>5</v>
      </c>
      <c r="W46" s="1306">
        <f t="shared" si="11"/>
        <v>100</v>
      </c>
      <c r="X46" s="1300"/>
      <c r="Y46" s="3733"/>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33"/>
      <c r="Q47" s="1304">
        <f t="shared" si="13"/>
        <v>111</v>
      </c>
      <c r="R47" s="1308" t="s">
        <v>5</v>
      </c>
      <c r="S47" s="1309">
        <f t="shared" si="9"/>
        <v>100</v>
      </c>
      <c r="T47" s="1308" t="s">
        <v>5</v>
      </c>
      <c r="U47" s="1309">
        <f t="shared" si="10"/>
        <v>100</v>
      </c>
      <c r="V47" s="1308" t="s">
        <v>5</v>
      </c>
      <c r="W47" s="1309">
        <f t="shared" si="11"/>
        <v>100</v>
      </c>
      <c r="X47" s="1310"/>
      <c r="Y47" s="3733"/>
      <c r="Z47" s="1311">
        <f t="shared" si="12"/>
        <v>111</v>
      </c>
      <c r="AA47" s="1307">
        <f t="shared" si="3"/>
        <v>1</v>
      </c>
      <c r="AB47" s="1307">
        <f t="shared" si="4"/>
        <v>1</v>
      </c>
      <c r="AC47" s="1307">
        <f t="shared" si="5"/>
        <v>1</v>
      </c>
    </row>
    <row r="48" spans="1:29" ht="20.25">
      <c r="A48" s="555" t="s">
        <v>505</v>
      </c>
      <c r="B48" s="556" t="s">
        <v>3712</v>
      </c>
      <c r="C48" s="557" t="s">
        <v>0</v>
      </c>
      <c r="D48" s="558"/>
      <c r="E48" s="3524">
        <f>ROUND(864284*10000/(102356.12+46889.12),0)</f>
        <v>57910</v>
      </c>
      <c r="F48" s="560"/>
      <c r="G48" s="561">
        <f>土地案例!P9</f>
        <v>63464</v>
      </c>
      <c r="H48" s="562"/>
      <c r="I48" s="559">
        <f>土地案例!P17</f>
        <v>58509</v>
      </c>
      <c r="J48" s="562"/>
      <c r="K48" s="1132"/>
      <c r="L48" s="1749"/>
      <c r="M48" s="1738"/>
      <c r="N48" s="1738"/>
      <c r="O48" s="1740"/>
      <c r="P48" s="3728" t="str">
        <f>A48</f>
        <v>成交单价</v>
      </c>
      <c r="Q48" s="3728"/>
      <c r="R48" s="3744">
        <f>E48</f>
        <v>57910</v>
      </c>
      <c r="S48" s="3744"/>
      <c r="T48" s="3744">
        <f>G48</f>
        <v>63464</v>
      </c>
      <c r="U48" s="3744"/>
      <c r="V48" s="3744">
        <f>I48</f>
        <v>58509</v>
      </c>
      <c r="W48" s="3744"/>
      <c r="X48" s="798"/>
      <c r="Y48" s="1312"/>
      <c r="Z48" s="798"/>
      <c r="AA48" s="798"/>
      <c r="AB48" s="798"/>
      <c r="AC48" s="798"/>
    </row>
    <row r="49" spans="1:29" ht="21" thickBot="1">
      <c r="A49" s="563" t="s">
        <v>1975</v>
      </c>
      <c r="B49" s="564"/>
      <c r="C49" s="565">
        <f>R50</f>
        <v>62053</v>
      </c>
      <c r="D49" s="2548" t="s">
        <v>2252</v>
      </c>
      <c r="E49" s="565">
        <f>R49</f>
        <v>59742</v>
      </c>
      <c r="F49" s="2549"/>
      <c r="G49" s="566">
        <f>T49</f>
        <v>65453</v>
      </c>
      <c r="H49" s="2549"/>
      <c r="I49" s="565">
        <f>V49</f>
        <v>60965</v>
      </c>
      <c r="J49" s="2549"/>
      <c r="K49" s="2550">
        <f>F49+H49+J49</f>
        <v>0</v>
      </c>
      <c r="L49" s="1749"/>
      <c r="M49" s="1738"/>
      <c r="N49" s="1738"/>
      <c r="O49" s="1740"/>
      <c r="P49" s="3728" t="str">
        <f>A49</f>
        <v>比较价格（元/平方米）</v>
      </c>
      <c r="Q49" s="3728"/>
      <c r="R49" s="3753">
        <f>ROUND(PRODUCT(R48,AA9:AA47),0)</f>
        <v>59742</v>
      </c>
      <c r="S49" s="3753"/>
      <c r="T49" s="3753">
        <f>ROUND(PRODUCT(T48,AB9:AB47),0)</f>
        <v>65453</v>
      </c>
      <c r="U49" s="3753"/>
      <c r="V49" s="3753">
        <f>ROUND(PRODUCT(V48,AC9:AC47),0)</f>
        <v>60965</v>
      </c>
      <c r="W49" s="3753"/>
      <c r="X49" s="798"/>
      <c r="Y49" s="798"/>
      <c r="Z49" s="798"/>
      <c r="AA49" s="798"/>
      <c r="AB49" s="798"/>
      <c r="AC49" s="798"/>
    </row>
    <row r="50" spans="1:29" ht="21" thickBot="1">
      <c r="A50" s="567" t="s">
        <v>2189</v>
      </c>
      <c r="B50" s="568"/>
      <c r="C50" s="569">
        <f>R50</f>
        <v>62053</v>
      </c>
      <c r="D50" s="569"/>
      <c r="E50" s="569"/>
      <c r="F50" s="569"/>
      <c r="G50" s="569"/>
      <c r="H50" s="569"/>
      <c r="I50" s="569"/>
      <c r="J50" s="569"/>
      <c r="K50" s="1133"/>
      <c r="L50" s="1749"/>
      <c r="M50" s="1738"/>
      <c r="N50" s="1738"/>
      <c r="O50" s="1740"/>
      <c r="P50" s="3734" t="str">
        <f>A50</f>
        <v>估价对象XX用房的比较价格（楼面单价，元/平方米）</v>
      </c>
      <c r="Q50" s="3735"/>
      <c r="R50" s="3752">
        <f>ROUND(IF(D49="简单平均",AVERAGE(R49:W49),R49*F49+T49*H49+V49*J49),0)</f>
        <v>62053</v>
      </c>
      <c r="S50" s="3752"/>
      <c r="T50" s="3752"/>
      <c r="U50" s="3752"/>
      <c r="V50" s="3752"/>
      <c r="W50" s="3752"/>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3.1635296149197023E-2</v>
      </c>
      <c r="F53" s="573" t="str">
        <f>IF(OR(E53&gt;=0.3,E53&lt;=-0.3),"超过30%","")</f>
        <v/>
      </c>
      <c r="G53" s="572">
        <f>IF(G48&lt;G49,G49/G48-1,G48/G49-1)</f>
        <v>3.1340602546325425E-2</v>
      </c>
      <c r="H53" s="573" t="str">
        <f>IF(OR(G53&gt;=0.3,G53&lt;=-0.3),"超过30%","")</f>
        <v/>
      </c>
      <c r="I53" s="572">
        <f>IF(I48&lt;I49,I49/I48-1,I48/I49-1)</f>
        <v>4.1976448067818639E-2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9.5594389206923092E-2</v>
      </c>
      <c r="F54" s="573" t="str">
        <f>IF(OR(E54&gt;=0.2,E54&lt;=-0.2),"超过20%","")</f>
        <v/>
      </c>
      <c r="G54" s="572">
        <f>IF(G49&lt;I49,I49/G49-1,G49/I49-1)</f>
        <v>7.3616009185598186E-2</v>
      </c>
      <c r="H54" s="573" t="str">
        <f>IF(OR(G54&gt;=0.2,G54&lt;=-0.2),"超过20%","")</f>
        <v/>
      </c>
      <c r="I54" s="572">
        <f>IF(I49&lt;E49,E49/I49-1,I49/E49-1)</f>
        <v>2.0471360182116483E-2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9.5907442583318847E-2</v>
      </c>
      <c r="F55" s="573" t="str">
        <f>IF(OR(E55&gt;=0.3,E55&lt;=-0.3),"超过30%","")</f>
        <v/>
      </c>
      <c r="G55" s="572">
        <f>IF(G48&lt;I48,I48/G48-1,G48/I48-1)</f>
        <v>8.4687825804577122E-2</v>
      </c>
      <c r="H55" s="573" t="str">
        <f>IF(OR(G55&gt;=0.3,G55&lt;=-0.3),"超过30%","")</f>
        <v/>
      </c>
      <c r="I55" s="572">
        <f>IF(I48&lt;E48,E48/I48-1,I48/E48-1)</f>
        <v>1.0343636677603074E-2</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13" t="s">
        <v>1639</v>
      </c>
      <c r="H57" s="3714"/>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62053</v>
      </c>
      <c r="C58" s="581">
        <v>1</v>
      </c>
      <c r="D58" s="1820">
        <v>1</v>
      </c>
      <c r="E58" s="581">
        <f>'数据-汇总表'!E8+'数据-汇总表'!E9</f>
        <v>47723.86</v>
      </c>
      <c r="F58" s="582">
        <f t="shared" ref="F58:F66" si="14">ROUND(B58*E58/10000,0)</f>
        <v>296141</v>
      </c>
      <c r="G58" s="3715"/>
      <c r="H58" s="3716"/>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9308</v>
      </c>
      <c r="C59" s="347">
        <f t="shared" ref="C59:C66" si="15">IF($C$57="北京市系数",I59,J59)</f>
        <v>0.6</v>
      </c>
      <c r="D59" s="1821">
        <v>0.25</v>
      </c>
      <c r="E59" s="585">
        <v>0</v>
      </c>
      <c r="F59" s="582">
        <f t="shared" si="14"/>
        <v>0</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4654</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3878</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3878</v>
      </c>
      <c r="C62" s="347">
        <f t="shared" si="15"/>
        <v>0.25</v>
      </c>
      <c r="D62" s="1821">
        <v>0.25</v>
      </c>
      <c r="E62" s="587">
        <f>'数据-汇总表'!E11</f>
        <v>50.46</v>
      </c>
      <c r="F62" s="582">
        <f t="shared" si="14"/>
        <v>20</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3878</v>
      </c>
      <c r="C63" s="347">
        <f t="shared" si="15"/>
        <v>0.25</v>
      </c>
      <c r="D63" s="1821">
        <v>0.25</v>
      </c>
      <c r="E63" s="587">
        <f>'数据-汇总表'!E12</f>
        <v>3496.29</v>
      </c>
      <c r="F63" s="582">
        <f t="shared" si="14"/>
        <v>1356</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2327</v>
      </c>
      <c r="C64" s="347">
        <f t="shared" si="15"/>
        <v>0.15</v>
      </c>
      <c r="D64" s="1821">
        <v>0.25</v>
      </c>
      <c r="E64" s="587">
        <f>'数据-汇总表'!E13</f>
        <v>15515.510000000002</v>
      </c>
      <c r="F64" s="582">
        <f t="shared" si="14"/>
        <v>3610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2327</v>
      </c>
      <c r="C65" s="347">
        <f t="shared" si="15"/>
        <v>0.15</v>
      </c>
      <c r="D65" s="1821">
        <v>0.25</v>
      </c>
      <c r="E65" s="587">
        <f>'数据-汇总表'!E14</f>
        <v>0</v>
      </c>
      <c r="F65" s="582">
        <f t="shared" si="14"/>
        <v>0</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2327</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66786.12</v>
      </c>
      <c r="F67" s="590">
        <f>IF(B48="楼面地价",SUM(F58:F66),ROUND(C50*E67/10000,0))</f>
        <v>301127</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6" t="s">
        <v>3700</v>
      </c>
      <c r="D76" s="3506" t="s">
        <v>3701</v>
      </c>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v>100</v>
      </c>
      <c r="D77" s="612">
        <v>98</v>
      </c>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t="str">
        <f>B15</f>
        <v>限售价</v>
      </c>
      <c r="C85" s="629">
        <v>93000</v>
      </c>
      <c r="D85" s="629">
        <v>90000</v>
      </c>
      <c r="E85" s="629">
        <v>85000</v>
      </c>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v>100</v>
      </c>
      <c r="D86" s="633">
        <v>99</v>
      </c>
      <c r="E86" s="633">
        <v>98</v>
      </c>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97</v>
      </c>
      <c r="E90" s="620">
        <f>D90-$K17</f>
        <v>94</v>
      </c>
      <c r="F90" s="620">
        <f>E90-$K17</f>
        <v>91</v>
      </c>
      <c r="G90" s="620">
        <f>F90-$K17</f>
        <v>88</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6" t="str">
        <f t="shared" si="24"/>
        <v>(含)-</v>
      </c>
      <c r="K117" s="2346" t="str">
        <f t="shared" si="24"/>
        <v>(含)-</v>
      </c>
      <c r="L117" s="2347"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1" t="s">
        <v>3690</v>
      </c>
      <c r="D120" s="3501" t="s">
        <v>3678</v>
      </c>
      <c r="E120" s="3501" t="s">
        <v>3691</v>
      </c>
      <c r="F120" s="3501" t="s">
        <v>3692</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3679</v>
      </c>
      <c r="D124" s="1164" t="s">
        <v>3680</v>
      </c>
      <c r="E124" s="1164" t="s">
        <v>3681</v>
      </c>
      <c r="F124" s="1164" t="s">
        <v>3682</v>
      </c>
      <c r="G124" s="1164" t="s">
        <v>3683</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3684</v>
      </c>
      <c r="D126" s="629" t="s">
        <v>3685</v>
      </c>
      <c r="E126" s="657" t="s">
        <v>3686</v>
      </c>
      <c r="F126" s="657" t="s">
        <v>3687</v>
      </c>
      <c r="G126" s="657" t="s">
        <v>3688</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7" t="str">
        <f>项目基本情况!B1</f>
        <v>北京市海淀区西北旺镇永丰产业基地出让国有建设用地使用权抵押价格预评估</v>
      </c>
      <c r="C37" s="3537"/>
      <c r="D37" s="3537"/>
      <c r="E37" s="3537"/>
      <c r="F37" s="3537"/>
      <c r="G37" s="3537"/>
      <c r="H37" s="3537"/>
      <c r="I37" s="3537"/>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2"/>
  <sheetViews>
    <sheetView workbookViewId="0">
      <selection activeCell="P4" sqref="P4:P17"/>
    </sheetView>
  </sheetViews>
  <sheetFormatPr defaultRowHeight="13.5"/>
  <cols>
    <col min="1" max="1" width="75.375" customWidth="1"/>
    <col min="7" max="7" width="18.75" customWidth="1"/>
  </cols>
  <sheetData>
    <row r="1" spans="1:21" s="2233" customFormat="1">
      <c r="A1" s="2233" t="s">
        <v>3412</v>
      </c>
      <c r="B1" s="2233" t="s">
        <v>3413</v>
      </c>
      <c r="C1" s="2233" t="s">
        <v>3414</v>
      </c>
      <c r="D1" s="2233" t="s">
        <v>3415</v>
      </c>
      <c r="E1" s="2233" t="s">
        <v>3416</v>
      </c>
      <c r="F1" s="2233" t="s">
        <v>3417</v>
      </c>
      <c r="G1" s="2233" t="s">
        <v>1550</v>
      </c>
      <c r="H1" s="2233" t="s">
        <v>3418</v>
      </c>
      <c r="I1" s="2233" t="s">
        <v>3419</v>
      </c>
      <c r="J1" s="2233" t="s">
        <v>3420</v>
      </c>
      <c r="K1" s="2233" t="s">
        <v>3421</v>
      </c>
      <c r="L1" s="2233" t="s">
        <v>3422</v>
      </c>
      <c r="M1" s="2233" t="s">
        <v>3423</v>
      </c>
      <c r="N1" s="2233" t="s">
        <v>3424</v>
      </c>
      <c r="O1" s="2233" t="s">
        <v>3425</v>
      </c>
      <c r="P1" s="2233" t="s">
        <v>3426</v>
      </c>
      <c r="Q1" s="2233" t="s">
        <v>3427</v>
      </c>
      <c r="R1" s="2233" t="s">
        <v>3428</v>
      </c>
      <c r="S1" s="2233" t="s">
        <v>3429</v>
      </c>
      <c r="T1" s="2233" t="s">
        <v>3430</v>
      </c>
      <c r="U1" s="2233" t="s">
        <v>3431</v>
      </c>
    </row>
    <row r="2" spans="1:21" s="2233" customFormat="1">
      <c r="A2" s="2233" t="s">
        <v>3432</v>
      </c>
      <c r="B2" s="2233" t="s">
        <v>3433</v>
      </c>
      <c r="C2" s="2233">
        <v>34678.620000000003</v>
      </c>
      <c r="D2" s="2233">
        <v>72825.100000000006</v>
      </c>
      <c r="E2" s="2233" t="s">
        <v>3434</v>
      </c>
      <c r="F2" s="2233" t="s">
        <v>3435</v>
      </c>
      <c r="G2" s="2233" t="s">
        <v>3436</v>
      </c>
      <c r="H2" s="2233" t="s">
        <v>3437</v>
      </c>
      <c r="I2" s="2233" t="s">
        <v>3438</v>
      </c>
      <c r="J2" s="2233" t="s">
        <v>3439</v>
      </c>
      <c r="K2" s="2233" t="s">
        <v>3440</v>
      </c>
      <c r="L2" s="2233" t="s">
        <v>3441</v>
      </c>
      <c r="M2" s="2233">
        <v>517500</v>
      </c>
      <c r="N2" s="2233">
        <v>149227.39000000001</v>
      </c>
      <c r="O2" s="2233">
        <v>9948.49</v>
      </c>
      <c r="P2" s="2233">
        <v>71061</v>
      </c>
      <c r="Q2" s="2233" t="s">
        <v>3438</v>
      </c>
      <c r="R2" s="2233">
        <v>15</v>
      </c>
      <c r="S2" s="2233">
        <v>517500</v>
      </c>
      <c r="T2" s="2233">
        <v>105000</v>
      </c>
      <c r="U2" s="2233">
        <v>105000</v>
      </c>
    </row>
    <row r="3" spans="1:21" s="2233" customFormat="1">
      <c r="A3" s="2233" t="s">
        <v>3442</v>
      </c>
      <c r="B3" s="2233" t="s">
        <v>3443</v>
      </c>
      <c r="C3" s="2233">
        <v>42463.44</v>
      </c>
      <c r="D3" s="2233">
        <v>89173.23</v>
      </c>
      <c r="E3" s="2233" t="s">
        <v>3434</v>
      </c>
      <c r="F3" s="2233" t="s">
        <v>3435</v>
      </c>
      <c r="G3" s="2233" t="s">
        <v>3436</v>
      </c>
      <c r="H3" s="2233" t="s">
        <v>3437</v>
      </c>
      <c r="I3" s="2233" t="s">
        <v>3438</v>
      </c>
      <c r="J3" s="2233" t="s">
        <v>3439</v>
      </c>
      <c r="K3" s="2233" t="s">
        <v>3440</v>
      </c>
      <c r="L3" s="2233" t="s">
        <v>3444</v>
      </c>
      <c r="M3" s="2233">
        <v>638250</v>
      </c>
      <c r="N3" s="2233">
        <v>150305.76999999999</v>
      </c>
      <c r="O3" s="2233">
        <v>10020.379999999999</v>
      </c>
      <c r="P3" s="2233">
        <v>71574</v>
      </c>
      <c r="Q3" s="2233" t="s">
        <v>3438</v>
      </c>
      <c r="R3" s="2233">
        <v>15</v>
      </c>
      <c r="S3" s="2233">
        <v>638250</v>
      </c>
      <c r="T3" s="2233" t="s">
        <v>3438</v>
      </c>
      <c r="U3" s="2233" t="s">
        <v>3438</v>
      </c>
    </row>
    <row r="4" spans="1:21" s="3500" customFormat="1">
      <c r="A4" s="3500" t="s">
        <v>3445</v>
      </c>
      <c r="B4" s="3500" t="s">
        <v>3446</v>
      </c>
      <c r="C4" s="3500">
        <v>85584.57</v>
      </c>
      <c r="D4" s="3500">
        <v>162894.59</v>
      </c>
      <c r="E4" s="3500" t="s">
        <v>3447</v>
      </c>
      <c r="F4" s="3500" t="s">
        <v>3448</v>
      </c>
      <c r="G4" s="3500" t="s">
        <v>3449</v>
      </c>
      <c r="H4" s="3500" t="s">
        <v>3437</v>
      </c>
      <c r="I4" s="3500" t="s">
        <v>3438</v>
      </c>
      <c r="J4" s="3500" t="s">
        <v>3450</v>
      </c>
      <c r="K4" s="3500" t="s">
        <v>3440</v>
      </c>
      <c r="L4" s="3500" t="s">
        <v>3451</v>
      </c>
      <c r="M4" s="3500">
        <v>890100</v>
      </c>
      <c r="N4" s="3500">
        <v>104002.39</v>
      </c>
      <c r="O4" s="3500">
        <v>6933.49</v>
      </c>
      <c r="P4" s="3500">
        <v>54643</v>
      </c>
      <c r="Q4" s="3500" t="s">
        <v>3438</v>
      </c>
      <c r="R4" s="3500">
        <v>3.5</v>
      </c>
      <c r="S4" s="3500" t="s">
        <v>3438</v>
      </c>
      <c r="T4" s="3500">
        <v>90000</v>
      </c>
      <c r="U4" s="3500">
        <v>90000</v>
      </c>
    </row>
    <row r="5" spans="1:21" s="3499" customFormat="1">
      <c r="A5" s="3499" t="s">
        <v>3452</v>
      </c>
      <c r="B5" s="3499" t="s">
        <v>3453</v>
      </c>
      <c r="C5" s="3499">
        <v>89529.8</v>
      </c>
      <c r="D5" s="3499">
        <v>222463.3</v>
      </c>
      <c r="E5" s="3499" t="s">
        <v>3447</v>
      </c>
      <c r="F5" s="3499" t="s">
        <v>3454</v>
      </c>
      <c r="G5" s="3499" t="s">
        <v>3455</v>
      </c>
      <c r="H5" s="3499" t="s">
        <v>3437</v>
      </c>
      <c r="I5" s="3499" t="s">
        <v>3438</v>
      </c>
      <c r="J5" s="3499" t="s">
        <v>3456</v>
      </c>
      <c r="K5" s="3499" t="s">
        <v>3440</v>
      </c>
      <c r="L5" s="3499" t="s">
        <v>3457</v>
      </c>
      <c r="M5" s="3499">
        <v>791700</v>
      </c>
      <c r="N5" s="3499">
        <v>88428.66</v>
      </c>
      <c r="O5" s="3499">
        <v>5895.24</v>
      </c>
      <c r="P5" s="3499">
        <v>35588</v>
      </c>
      <c r="Q5" s="3499" t="s">
        <v>3438</v>
      </c>
      <c r="R5" s="3499">
        <v>1.5</v>
      </c>
      <c r="S5" s="3499">
        <v>936000</v>
      </c>
      <c r="T5" s="3499">
        <v>93000</v>
      </c>
      <c r="U5" s="3499">
        <v>93000</v>
      </c>
    </row>
    <row r="6" spans="1:21" s="2233" customFormat="1">
      <c r="A6" s="2233" t="s">
        <v>3458</v>
      </c>
      <c r="B6" s="2233" t="s">
        <v>3459</v>
      </c>
      <c r="C6" s="2233">
        <v>8286.49</v>
      </c>
      <c r="D6" s="2233">
        <v>8286.49</v>
      </c>
      <c r="E6" s="2233" t="s">
        <v>3460</v>
      </c>
      <c r="F6" s="2233" t="s">
        <v>3461</v>
      </c>
      <c r="G6" s="2233" t="s">
        <v>3462</v>
      </c>
      <c r="H6" s="2233" t="s">
        <v>3437</v>
      </c>
      <c r="I6" s="2233" t="s">
        <v>3438</v>
      </c>
      <c r="J6" s="2233" t="s">
        <v>3463</v>
      </c>
      <c r="K6" s="2233" t="s">
        <v>3440</v>
      </c>
      <c r="L6" s="2233" t="s">
        <v>3464</v>
      </c>
      <c r="M6" s="2233">
        <v>16000</v>
      </c>
      <c r="N6" s="2233">
        <v>19308.53</v>
      </c>
      <c r="O6" s="2233">
        <v>1287.24</v>
      </c>
      <c r="P6" s="2233">
        <v>19309</v>
      </c>
      <c r="Q6" s="2233" t="s">
        <v>3438</v>
      </c>
      <c r="R6" s="2233">
        <v>0</v>
      </c>
      <c r="S6" s="2233" t="s">
        <v>3438</v>
      </c>
      <c r="T6" s="2233" t="s">
        <v>3438</v>
      </c>
      <c r="U6" s="2233" t="s">
        <v>3438</v>
      </c>
    </row>
    <row r="7" spans="1:21" s="2233" customFormat="1">
      <c r="A7" s="2233" t="s">
        <v>3465</v>
      </c>
      <c r="B7" s="2233" t="s">
        <v>3466</v>
      </c>
      <c r="C7" s="2233">
        <v>78101.460000000006</v>
      </c>
      <c r="D7" s="2233">
        <v>249924.67</v>
      </c>
      <c r="E7" s="2233" t="s">
        <v>3460</v>
      </c>
      <c r="F7" s="2233" t="s">
        <v>3467</v>
      </c>
      <c r="G7" s="2233" t="s">
        <v>3468</v>
      </c>
      <c r="H7" s="2233" t="s">
        <v>3437</v>
      </c>
      <c r="I7" s="2233" t="s">
        <v>3438</v>
      </c>
      <c r="J7" s="2233" t="s">
        <v>3463</v>
      </c>
      <c r="K7" s="2233" t="s">
        <v>3440</v>
      </c>
      <c r="L7" s="2233" t="s">
        <v>3469</v>
      </c>
      <c r="M7" s="2233">
        <v>423000</v>
      </c>
      <c r="N7" s="2233">
        <v>54160.32</v>
      </c>
      <c r="O7" s="2233">
        <v>3610.69</v>
      </c>
      <c r="P7" s="2233">
        <v>16925</v>
      </c>
      <c r="Q7" s="2233" t="s">
        <v>3438</v>
      </c>
      <c r="R7" s="2233">
        <v>0</v>
      </c>
      <c r="S7" s="2233" t="s">
        <v>3438</v>
      </c>
      <c r="T7" s="2233" t="s">
        <v>3438</v>
      </c>
      <c r="U7" s="2233" t="s">
        <v>3438</v>
      </c>
    </row>
    <row r="8" spans="1:21" s="2233" customFormat="1">
      <c r="A8" s="2233" t="s">
        <v>3470</v>
      </c>
      <c r="B8" s="2233" t="s">
        <v>3471</v>
      </c>
      <c r="C8" s="2233">
        <v>37655.61</v>
      </c>
      <c r="D8" s="2233">
        <v>56108.97</v>
      </c>
      <c r="E8" s="2233" t="s">
        <v>3460</v>
      </c>
      <c r="F8" s="2233" t="s">
        <v>3472</v>
      </c>
      <c r="G8" s="2233" t="s">
        <v>3473</v>
      </c>
      <c r="H8" s="2233" t="s">
        <v>3437</v>
      </c>
      <c r="I8" s="2233" t="s">
        <v>3438</v>
      </c>
      <c r="J8" s="2233" t="s">
        <v>3474</v>
      </c>
      <c r="K8" s="2233" t="s">
        <v>3440</v>
      </c>
      <c r="L8" s="2233" t="s">
        <v>3475</v>
      </c>
      <c r="M8" s="2233">
        <v>74000</v>
      </c>
      <c r="N8" s="2233">
        <v>19651.78</v>
      </c>
      <c r="O8" s="2233">
        <v>1310.1199999999999</v>
      </c>
      <c r="P8" s="2233">
        <v>13189</v>
      </c>
      <c r="Q8" s="2233" t="s">
        <v>3438</v>
      </c>
      <c r="R8" s="2233">
        <v>0</v>
      </c>
      <c r="S8" s="2233" t="s">
        <v>3438</v>
      </c>
      <c r="T8" s="2233" t="s">
        <v>3438</v>
      </c>
      <c r="U8" s="2233" t="s">
        <v>3438</v>
      </c>
    </row>
    <row r="9" spans="1:21" s="3500" customFormat="1">
      <c r="A9" s="3500" t="s">
        <v>3476</v>
      </c>
      <c r="B9" s="3500" t="s">
        <v>3477</v>
      </c>
      <c r="C9" s="3500">
        <v>25268.17</v>
      </c>
      <c r="D9" s="3500">
        <v>45482.71</v>
      </c>
      <c r="E9" s="3500" t="s">
        <v>3434</v>
      </c>
      <c r="F9" s="3500" t="s">
        <v>3478</v>
      </c>
      <c r="G9" s="3500" t="s">
        <v>3479</v>
      </c>
      <c r="H9" s="3500" t="s">
        <v>3437</v>
      </c>
      <c r="I9" s="3500" t="s">
        <v>3438</v>
      </c>
      <c r="J9" s="3500" t="s">
        <v>3480</v>
      </c>
      <c r="K9" s="3500" t="s">
        <v>3440</v>
      </c>
      <c r="L9" s="3500" t="s">
        <v>3481</v>
      </c>
      <c r="M9" s="3500">
        <v>288650</v>
      </c>
      <c r="N9" s="3500">
        <v>114234.62</v>
      </c>
      <c r="O9" s="3500">
        <v>7615.64</v>
      </c>
      <c r="P9" s="3500">
        <v>63464</v>
      </c>
      <c r="Q9" s="3500" t="s">
        <v>3438</v>
      </c>
      <c r="R9" s="3500">
        <v>15</v>
      </c>
      <c r="S9" s="3500">
        <v>288650</v>
      </c>
      <c r="T9" s="3500">
        <v>85000</v>
      </c>
      <c r="U9" s="3500">
        <v>85000</v>
      </c>
    </row>
    <row r="10" spans="1:21" s="2233" customFormat="1">
      <c r="A10" s="2233" t="s">
        <v>3482</v>
      </c>
      <c r="B10" s="2233" t="s">
        <v>3483</v>
      </c>
      <c r="C10" s="2233">
        <v>70601.06</v>
      </c>
      <c r="D10" s="2233">
        <v>285523</v>
      </c>
      <c r="E10" s="2233" t="s">
        <v>3460</v>
      </c>
      <c r="F10" s="2233" t="s">
        <v>3484</v>
      </c>
      <c r="G10" s="2233" t="s">
        <v>3485</v>
      </c>
      <c r="H10" s="2233" t="s">
        <v>3437</v>
      </c>
      <c r="I10" s="2233" t="s">
        <v>3438</v>
      </c>
      <c r="J10" s="2233" t="s">
        <v>3486</v>
      </c>
      <c r="K10" s="2233" t="s">
        <v>3440</v>
      </c>
      <c r="L10" s="2233" t="s">
        <v>3487</v>
      </c>
      <c r="M10" s="2233">
        <v>642000</v>
      </c>
      <c r="N10" s="2233">
        <v>90933.48</v>
      </c>
      <c r="O10" s="2233">
        <v>6062.23</v>
      </c>
      <c r="P10" s="2233">
        <v>22485</v>
      </c>
      <c r="Q10" s="2233" t="s">
        <v>3438</v>
      </c>
      <c r="R10" s="2233">
        <v>0</v>
      </c>
      <c r="S10" s="2233" t="s">
        <v>3438</v>
      </c>
      <c r="T10" s="2233" t="s">
        <v>3438</v>
      </c>
      <c r="U10" s="2233" t="s">
        <v>3438</v>
      </c>
    </row>
    <row r="11" spans="1:21" s="2233" customFormat="1">
      <c r="A11" s="2233" t="s">
        <v>3488</v>
      </c>
      <c r="B11" s="2233" t="s">
        <v>3489</v>
      </c>
      <c r="C11" s="2233">
        <v>49900.54</v>
      </c>
      <c r="D11" s="2233">
        <v>109781.19</v>
      </c>
      <c r="E11" s="2233" t="s">
        <v>3460</v>
      </c>
      <c r="F11" s="2233" t="s">
        <v>3490</v>
      </c>
      <c r="G11" s="2233" t="s">
        <v>3491</v>
      </c>
      <c r="H11" s="2233" t="s">
        <v>3437</v>
      </c>
      <c r="I11" s="2233" t="s">
        <v>3438</v>
      </c>
      <c r="J11" s="2233" t="s">
        <v>3492</v>
      </c>
      <c r="K11" s="2233" t="s">
        <v>3440</v>
      </c>
      <c r="L11" s="2233" t="s">
        <v>3493</v>
      </c>
      <c r="M11" s="2233">
        <v>227000</v>
      </c>
      <c r="N11" s="2233">
        <v>45490.49</v>
      </c>
      <c r="O11" s="2233">
        <v>3032.7</v>
      </c>
      <c r="P11" s="2233">
        <v>20677</v>
      </c>
      <c r="Q11" s="2233" t="s">
        <v>3438</v>
      </c>
      <c r="R11" s="2233">
        <v>0</v>
      </c>
      <c r="S11" s="2233" t="s">
        <v>3438</v>
      </c>
      <c r="T11" s="2233" t="s">
        <v>3438</v>
      </c>
      <c r="U11" s="2233" t="s">
        <v>3438</v>
      </c>
    </row>
    <row r="12" spans="1:21" s="2233" customFormat="1">
      <c r="A12" s="2233" t="s">
        <v>3494</v>
      </c>
      <c r="B12" s="2233" t="s">
        <v>3495</v>
      </c>
      <c r="C12" s="2233">
        <v>73887.38</v>
      </c>
      <c r="D12" s="2233">
        <v>89552.29</v>
      </c>
      <c r="E12" s="2233" t="s">
        <v>3434</v>
      </c>
      <c r="F12" s="2233" t="s">
        <v>3478</v>
      </c>
      <c r="G12" s="2233" t="s">
        <v>3496</v>
      </c>
      <c r="H12" s="2233" t="s">
        <v>3437</v>
      </c>
      <c r="I12" s="2233" t="s">
        <v>3438</v>
      </c>
      <c r="J12" s="2233" t="s">
        <v>3497</v>
      </c>
      <c r="K12" s="2233" t="s">
        <v>3440</v>
      </c>
      <c r="L12" s="2233" t="s">
        <v>3498</v>
      </c>
      <c r="M12" s="2233">
        <v>793500</v>
      </c>
      <c r="N12" s="2233">
        <v>107393.17</v>
      </c>
      <c r="O12" s="2233">
        <v>7159.54</v>
      </c>
      <c r="P12" s="2233">
        <v>88607</v>
      </c>
      <c r="Q12" s="2233" t="s">
        <v>3438</v>
      </c>
      <c r="R12" s="2233">
        <v>15</v>
      </c>
      <c r="S12" s="2233">
        <v>793500</v>
      </c>
      <c r="T12" s="2233">
        <v>121000</v>
      </c>
      <c r="U12" s="2233">
        <v>121000</v>
      </c>
    </row>
    <row r="13" spans="1:21" s="2233" customFormat="1">
      <c r="A13" s="2233" t="s">
        <v>3499</v>
      </c>
      <c r="B13" s="2233" t="s">
        <v>3500</v>
      </c>
      <c r="C13" s="2233">
        <v>18388.669999999998</v>
      </c>
      <c r="D13" s="2233">
        <v>21809.34</v>
      </c>
      <c r="E13" s="2233" t="s">
        <v>3434</v>
      </c>
      <c r="F13" s="2233" t="s">
        <v>3478</v>
      </c>
      <c r="G13" s="2233" t="s">
        <v>3496</v>
      </c>
      <c r="H13" s="2233" t="s">
        <v>3437</v>
      </c>
      <c r="I13" s="2233" t="s">
        <v>3438</v>
      </c>
      <c r="J13" s="2233" t="s">
        <v>3497</v>
      </c>
      <c r="K13" s="2233" t="s">
        <v>3440</v>
      </c>
      <c r="L13" s="2233" t="s">
        <v>3501</v>
      </c>
      <c r="M13" s="2233">
        <v>195500</v>
      </c>
      <c r="N13" s="2233">
        <v>106315.47</v>
      </c>
      <c r="O13" s="2233">
        <v>7087.7</v>
      </c>
      <c r="P13" s="2233">
        <v>89640</v>
      </c>
      <c r="Q13" s="2233" t="s">
        <v>3438</v>
      </c>
      <c r="R13" s="2233">
        <v>15</v>
      </c>
      <c r="S13" s="2233">
        <v>195500</v>
      </c>
      <c r="T13" s="2233">
        <v>121000</v>
      </c>
      <c r="U13" s="2233">
        <v>121000</v>
      </c>
    </row>
    <row r="14" spans="1:21" s="2233" customFormat="1">
      <c r="A14" s="2233" t="s">
        <v>3502</v>
      </c>
      <c r="B14" s="2233" t="s">
        <v>3503</v>
      </c>
      <c r="C14" s="2233">
        <v>32733.22</v>
      </c>
      <c r="D14" s="2233">
        <v>72013.08</v>
      </c>
      <c r="E14" s="2233" t="s">
        <v>3460</v>
      </c>
      <c r="F14" s="2233" t="s">
        <v>3490</v>
      </c>
      <c r="G14" s="2233" t="s">
        <v>3491</v>
      </c>
      <c r="H14" s="2233" t="s">
        <v>3437</v>
      </c>
      <c r="I14" s="2233" t="s">
        <v>3438</v>
      </c>
      <c r="J14" s="2233" t="s">
        <v>3504</v>
      </c>
      <c r="K14" s="2233" t="s">
        <v>3440</v>
      </c>
      <c r="L14" s="2233" t="s">
        <v>3505</v>
      </c>
      <c r="M14" s="2233">
        <v>149000</v>
      </c>
      <c r="N14" s="2233">
        <v>45519.5</v>
      </c>
      <c r="O14" s="2233">
        <v>3034.63</v>
      </c>
      <c r="P14" s="2233">
        <v>20691</v>
      </c>
      <c r="Q14" s="2233" t="s">
        <v>3438</v>
      </c>
      <c r="R14" s="2233">
        <v>0</v>
      </c>
      <c r="S14" s="2233" t="s">
        <v>3438</v>
      </c>
      <c r="T14" s="2233" t="s">
        <v>3438</v>
      </c>
      <c r="U14" s="2233" t="s">
        <v>3438</v>
      </c>
    </row>
    <row r="15" spans="1:21" s="2233" customFormat="1">
      <c r="A15" s="2233" t="s">
        <v>3506</v>
      </c>
      <c r="B15" s="2233" t="s">
        <v>3507</v>
      </c>
      <c r="C15" s="2233">
        <v>29506.55</v>
      </c>
      <c r="D15" s="2233">
        <v>64914.41</v>
      </c>
      <c r="E15" s="2233" t="s">
        <v>3460</v>
      </c>
      <c r="F15" s="2233" t="s">
        <v>3490</v>
      </c>
      <c r="G15" s="2233" t="s">
        <v>3491</v>
      </c>
      <c r="H15" s="2233" t="s">
        <v>3437</v>
      </c>
      <c r="I15" s="2233" t="s">
        <v>3438</v>
      </c>
      <c r="J15" s="2233" t="s">
        <v>3504</v>
      </c>
      <c r="K15" s="2233" t="s">
        <v>3440</v>
      </c>
      <c r="L15" s="2233" t="s">
        <v>3508</v>
      </c>
      <c r="M15" s="2233">
        <v>135000</v>
      </c>
      <c r="N15" s="2233">
        <v>45752.55</v>
      </c>
      <c r="O15" s="2233">
        <v>3050.17</v>
      </c>
      <c r="P15" s="2233">
        <v>20797</v>
      </c>
      <c r="Q15" s="2233" t="s">
        <v>3438</v>
      </c>
      <c r="R15" s="2233">
        <v>0</v>
      </c>
      <c r="S15" s="2233" t="s">
        <v>3438</v>
      </c>
      <c r="T15" s="2233" t="s">
        <v>3438</v>
      </c>
      <c r="U15" s="2233" t="s">
        <v>3438</v>
      </c>
    </row>
    <row r="16" spans="1:21" s="2233" customFormat="1">
      <c r="A16" s="2233" t="s">
        <v>3509</v>
      </c>
      <c r="B16" s="2233" t="s">
        <v>3510</v>
      </c>
      <c r="C16" s="2233">
        <v>46313.85</v>
      </c>
      <c r="D16" s="2233">
        <v>104753.24</v>
      </c>
      <c r="E16" s="2233" t="s">
        <v>3447</v>
      </c>
      <c r="F16" s="2233" t="s">
        <v>3511</v>
      </c>
      <c r="G16" s="2233" t="s">
        <v>3512</v>
      </c>
      <c r="H16" s="2233" t="s">
        <v>3437</v>
      </c>
      <c r="I16" s="2233" t="s">
        <v>3513</v>
      </c>
      <c r="J16" s="2233" t="s">
        <v>3514</v>
      </c>
      <c r="K16" s="2233" t="s">
        <v>3440</v>
      </c>
      <c r="L16" s="2233" t="s">
        <v>3515</v>
      </c>
      <c r="M16" s="2233">
        <v>557750</v>
      </c>
      <c r="N16" s="2233">
        <v>120428.33</v>
      </c>
      <c r="O16" s="2233">
        <v>8028.56</v>
      </c>
      <c r="P16" s="2233">
        <v>53244</v>
      </c>
      <c r="Q16" s="2233" t="s">
        <v>3438</v>
      </c>
      <c r="R16" s="2233">
        <v>15</v>
      </c>
      <c r="S16" s="2233">
        <v>557750</v>
      </c>
      <c r="T16" s="2233">
        <v>82000</v>
      </c>
      <c r="U16" s="2233">
        <v>82000</v>
      </c>
    </row>
    <row r="17" spans="1:21" s="3500" customFormat="1">
      <c r="A17" s="3500" t="s">
        <v>3516</v>
      </c>
      <c r="B17" s="3500" t="s">
        <v>3517</v>
      </c>
      <c r="C17" s="3500">
        <v>47827.06</v>
      </c>
      <c r="D17" s="3500">
        <v>71740.59</v>
      </c>
      <c r="E17" s="3500" t="s">
        <v>3434</v>
      </c>
      <c r="F17" s="3500" t="s">
        <v>3435</v>
      </c>
      <c r="G17" s="3500" t="s">
        <v>3518</v>
      </c>
      <c r="H17" s="3500" t="s">
        <v>3437</v>
      </c>
      <c r="I17" s="3500" t="s">
        <v>3513</v>
      </c>
      <c r="J17" s="3500" t="s">
        <v>3514</v>
      </c>
      <c r="K17" s="3500" t="s">
        <v>3440</v>
      </c>
      <c r="L17" s="3500" t="s">
        <v>3515</v>
      </c>
      <c r="M17" s="3500">
        <v>419750</v>
      </c>
      <c r="N17" s="3500">
        <v>87764.12</v>
      </c>
      <c r="O17" s="3500">
        <v>5850.94</v>
      </c>
      <c r="P17" s="3500">
        <v>58509</v>
      </c>
      <c r="Q17" s="3500" t="s">
        <v>3438</v>
      </c>
      <c r="R17" s="3500">
        <v>15</v>
      </c>
      <c r="S17" s="3500">
        <v>419750</v>
      </c>
      <c r="T17" s="3500">
        <v>85000</v>
      </c>
      <c r="U17" s="3500">
        <v>85000</v>
      </c>
    </row>
    <row r="18" spans="1:21" s="2233" customFormat="1">
      <c r="A18" s="2233" t="s">
        <v>3519</v>
      </c>
      <c r="B18" s="2233" t="s">
        <v>3520</v>
      </c>
      <c r="C18" s="2233">
        <v>52463.4</v>
      </c>
      <c r="D18" s="2233">
        <v>123492.16</v>
      </c>
      <c r="E18" s="2233" t="s">
        <v>3447</v>
      </c>
      <c r="F18" s="2233" t="s">
        <v>3521</v>
      </c>
      <c r="G18" s="2233" t="s">
        <v>3522</v>
      </c>
      <c r="H18" s="2233" t="s">
        <v>3437</v>
      </c>
      <c r="I18" s="2233" t="s">
        <v>3513</v>
      </c>
      <c r="J18" s="2233" t="s">
        <v>3514</v>
      </c>
      <c r="K18" s="2233" t="s">
        <v>3440</v>
      </c>
      <c r="L18" s="2233" t="s">
        <v>3523</v>
      </c>
      <c r="M18" s="2233">
        <v>531800</v>
      </c>
      <c r="N18" s="2233">
        <v>101365.91</v>
      </c>
      <c r="O18" s="2233">
        <v>6757.73</v>
      </c>
      <c r="P18" s="2233">
        <v>43063</v>
      </c>
      <c r="Q18" s="2233" t="s">
        <v>3438</v>
      </c>
      <c r="R18" s="2233">
        <v>4.4800000000000004</v>
      </c>
      <c r="S18" s="2233">
        <v>585350</v>
      </c>
      <c r="T18" s="2233">
        <v>82000</v>
      </c>
      <c r="U18" s="2233">
        <v>82000</v>
      </c>
    </row>
    <row r="19" spans="1:21" s="2233" customFormat="1">
      <c r="A19" s="2233" t="s">
        <v>3524</v>
      </c>
      <c r="B19" s="2233" t="s">
        <v>3525</v>
      </c>
      <c r="C19" s="2233">
        <v>38252.550000000003</v>
      </c>
      <c r="D19" s="2233">
        <v>84155.61</v>
      </c>
      <c r="E19" s="2233" t="s">
        <v>3460</v>
      </c>
      <c r="F19" s="2233" t="s">
        <v>3490</v>
      </c>
      <c r="G19" s="2233" t="s">
        <v>3491</v>
      </c>
      <c r="H19" s="2233" t="s">
        <v>3437</v>
      </c>
      <c r="I19" s="2233" t="s">
        <v>3438</v>
      </c>
      <c r="J19" s="2233" t="s">
        <v>3526</v>
      </c>
      <c r="K19" s="2233" t="s">
        <v>3440</v>
      </c>
      <c r="L19" s="2233" t="s">
        <v>3527</v>
      </c>
      <c r="M19" s="2233">
        <v>175000</v>
      </c>
      <c r="N19" s="2233">
        <v>45748.58</v>
      </c>
      <c r="O19" s="2233">
        <v>3049.91</v>
      </c>
      <c r="P19" s="2233">
        <v>20795</v>
      </c>
      <c r="Q19" s="2233" t="s">
        <v>3438</v>
      </c>
      <c r="R19" s="2233">
        <v>0</v>
      </c>
      <c r="S19" s="2233" t="s">
        <v>3438</v>
      </c>
      <c r="T19" s="2233" t="s">
        <v>3438</v>
      </c>
      <c r="U19" s="2233" t="s">
        <v>3438</v>
      </c>
    </row>
    <row r="20" spans="1:21" s="2233" customFormat="1">
      <c r="A20" s="2233" t="s">
        <v>3528</v>
      </c>
      <c r="B20" s="2233" t="s">
        <v>3529</v>
      </c>
      <c r="C20" s="2233">
        <v>30025.18</v>
      </c>
      <c r="D20" s="2233">
        <v>66055.39</v>
      </c>
      <c r="E20" s="2233" t="s">
        <v>3460</v>
      </c>
      <c r="F20" s="2233" t="s">
        <v>3490</v>
      </c>
      <c r="G20" s="2233" t="s">
        <v>3491</v>
      </c>
      <c r="H20" s="2233" t="s">
        <v>3437</v>
      </c>
      <c r="I20" s="2233" t="s">
        <v>3438</v>
      </c>
      <c r="J20" s="2233" t="s">
        <v>3526</v>
      </c>
      <c r="K20" s="2233" t="s">
        <v>3440</v>
      </c>
      <c r="L20" s="2233" t="s">
        <v>3530</v>
      </c>
      <c r="M20" s="2233">
        <v>137000</v>
      </c>
      <c r="N20" s="2233">
        <v>45628.37</v>
      </c>
      <c r="O20" s="2233">
        <v>3041.89</v>
      </c>
      <c r="P20" s="2233">
        <v>20740</v>
      </c>
      <c r="Q20" s="2233" t="s">
        <v>3438</v>
      </c>
      <c r="R20" s="2233">
        <v>0</v>
      </c>
      <c r="S20" s="2233" t="s">
        <v>3438</v>
      </c>
      <c r="T20" s="2233" t="s">
        <v>3438</v>
      </c>
      <c r="U20" s="2233" t="s">
        <v>3438</v>
      </c>
    </row>
    <row r="21" spans="1:21" s="2233" customFormat="1">
      <c r="A21" s="2233" t="s">
        <v>3531</v>
      </c>
      <c r="B21" s="2233" t="s">
        <v>3532</v>
      </c>
      <c r="C21" s="2233">
        <v>25121.77</v>
      </c>
      <c r="D21" s="2233">
        <v>55267.89</v>
      </c>
      <c r="E21" s="2233" t="s">
        <v>3460</v>
      </c>
      <c r="F21" s="2233" t="s">
        <v>3490</v>
      </c>
      <c r="G21" s="2233" t="s">
        <v>3491</v>
      </c>
      <c r="H21" s="2233" t="s">
        <v>3437</v>
      </c>
      <c r="I21" s="2233" t="s">
        <v>3438</v>
      </c>
      <c r="J21" s="2233" t="s">
        <v>3526</v>
      </c>
      <c r="K21" s="2233" t="s">
        <v>3440</v>
      </c>
      <c r="L21" s="2233" t="s">
        <v>3533</v>
      </c>
      <c r="M21" s="2233">
        <v>115000</v>
      </c>
      <c r="N21" s="2233">
        <v>45777.02</v>
      </c>
      <c r="O21" s="2233">
        <v>3051.8</v>
      </c>
      <c r="P21" s="2233">
        <v>20808</v>
      </c>
      <c r="Q21" s="2233" t="s">
        <v>3438</v>
      </c>
      <c r="R21" s="2233">
        <v>0</v>
      </c>
      <c r="S21" s="2233" t="s">
        <v>3438</v>
      </c>
      <c r="T21" s="2233" t="s">
        <v>3438</v>
      </c>
      <c r="U21" s="2233" t="s">
        <v>3438</v>
      </c>
    </row>
    <row r="22" spans="1:21" s="2233" customFormat="1">
      <c r="A22" s="2233" t="s">
        <v>3534</v>
      </c>
      <c r="B22" s="2233" t="s">
        <v>3535</v>
      </c>
      <c r="C22" s="2233">
        <v>55613.32</v>
      </c>
      <c r="D22" s="2233">
        <v>83419.98</v>
      </c>
      <c r="E22" s="2233" t="s">
        <v>3434</v>
      </c>
      <c r="F22" s="2233" t="s">
        <v>3536</v>
      </c>
      <c r="G22" s="2233" t="s">
        <v>3518</v>
      </c>
      <c r="H22" s="2233" t="s">
        <v>3437</v>
      </c>
      <c r="I22" s="2233" t="s">
        <v>3537</v>
      </c>
      <c r="J22" s="2233" t="s">
        <v>3538</v>
      </c>
      <c r="K22" s="2233" t="s">
        <v>3440</v>
      </c>
      <c r="L22" s="2233" t="s">
        <v>3539</v>
      </c>
      <c r="M22" s="2233">
        <v>449500</v>
      </c>
      <c r="N22" s="2233">
        <v>80825.960000000006</v>
      </c>
      <c r="O22" s="2233">
        <v>5388.4</v>
      </c>
      <c r="P22" s="2233">
        <v>53884</v>
      </c>
      <c r="Q22" s="2233" t="s">
        <v>3438</v>
      </c>
      <c r="R22" s="2233">
        <v>6.26</v>
      </c>
      <c r="S22" s="2233">
        <v>465300</v>
      </c>
      <c r="T22" s="2233">
        <v>83000</v>
      </c>
      <c r="U22" s="2233">
        <v>83000</v>
      </c>
    </row>
    <row r="23" spans="1:21" s="2233" customFormat="1">
      <c r="A23" s="2233" t="s">
        <v>3540</v>
      </c>
      <c r="B23" s="2233" t="s">
        <v>3541</v>
      </c>
      <c r="C23" s="2233">
        <v>31161.99</v>
      </c>
      <c r="D23" s="2233">
        <v>71300</v>
      </c>
      <c r="E23" s="2233" t="s">
        <v>3447</v>
      </c>
      <c r="F23" s="2233" t="s">
        <v>3511</v>
      </c>
      <c r="G23" s="2233" t="s">
        <v>3542</v>
      </c>
      <c r="H23" s="2233" t="s">
        <v>3437</v>
      </c>
      <c r="I23" s="2233" t="s">
        <v>3537</v>
      </c>
      <c r="J23" s="2233" t="s">
        <v>3543</v>
      </c>
      <c r="K23" s="2233" t="s">
        <v>3440</v>
      </c>
      <c r="L23" s="2233" t="s">
        <v>3544</v>
      </c>
      <c r="M23" s="2233">
        <v>493000</v>
      </c>
      <c r="N23" s="2233">
        <v>158205.56</v>
      </c>
      <c r="O23" s="2233">
        <v>10547.04</v>
      </c>
      <c r="P23" s="2233">
        <v>69144</v>
      </c>
      <c r="Q23" s="2233">
        <v>76553</v>
      </c>
      <c r="R23" s="2233">
        <v>6.02</v>
      </c>
      <c r="S23" s="2233">
        <v>493000</v>
      </c>
      <c r="T23" s="2233">
        <v>112000</v>
      </c>
      <c r="U23" s="2233">
        <v>112000</v>
      </c>
    </row>
    <row r="24" spans="1:21" s="2233" customFormat="1">
      <c r="A24" s="2233" t="s">
        <v>3545</v>
      </c>
      <c r="B24" s="2233" t="s">
        <v>3546</v>
      </c>
      <c r="C24" s="2233">
        <v>25289.72</v>
      </c>
      <c r="D24" s="2233">
        <v>61500</v>
      </c>
      <c r="E24" s="2233" t="s">
        <v>3434</v>
      </c>
      <c r="F24" s="2233" t="s">
        <v>3435</v>
      </c>
      <c r="G24" s="2233" t="s">
        <v>3547</v>
      </c>
      <c r="H24" s="2233" t="s">
        <v>3437</v>
      </c>
      <c r="I24" s="2233" t="s">
        <v>3537</v>
      </c>
      <c r="J24" s="2233" t="s">
        <v>3543</v>
      </c>
      <c r="K24" s="2233" t="s">
        <v>3440</v>
      </c>
      <c r="L24" s="2233" t="s">
        <v>3544</v>
      </c>
      <c r="M24" s="2233">
        <v>444000</v>
      </c>
      <c r="N24" s="2233">
        <v>175565.4</v>
      </c>
      <c r="O24" s="2233">
        <v>11704.36</v>
      </c>
      <c r="P24" s="2233">
        <v>72195</v>
      </c>
      <c r="Q24" s="2233">
        <v>80289</v>
      </c>
      <c r="R24" s="2233">
        <v>5.97</v>
      </c>
      <c r="S24" s="2233">
        <v>444000</v>
      </c>
      <c r="T24" s="2233">
        <v>112000</v>
      </c>
      <c r="U24" s="2233">
        <v>112000</v>
      </c>
    </row>
    <row r="25" spans="1:21" s="2233" customFormat="1">
      <c r="A25" s="2233" t="s">
        <v>3548</v>
      </c>
      <c r="B25" s="2233" t="s">
        <v>3549</v>
      </c>
      <c r="C25" s="2233">
        <v>59060.26</v>
      </c>
      <c r="D25" s="2233">
        <v>86350.39</v>
      </c>
      <c r="E25" s="2233" t="s">
        <v>3447</v>
      </c>
      <c r="F25" s="2233" t="s">
        <v>3511</v>
      </c>
      <c r="G25" s="2233" t="s">
        <v>3550</v>
      </c>
      <c r="H25" s="2233" t="s">
        <v>3437</v>
      </c>
      <c r="I25" s="2233" t="s">
        <v>3537</v>
      </c>
      <c r="J25" s="2233" t="s">
        <v>3538</v>
      </c>
      <c r="K25" s="2233" t="s">
        <v>3440</v>
      </c>
      <c r="L25" s="2233" t="s">
        <v>3551</v>
      </c>
      <c r="M25" s="2233">
        <v>450000</v>
      </c>
      <c r="N25" s="2233">
        <v>76193.37</v>
      </c>
      <c r="O25" s="2233">
        <v>5079.5600000000004</v>
      </c>
      <c r="P25" s="2233">
        <v>52113</v>
      </c>
      <c r="Q25" s="2233" t="s">
        <v>3438</v>
      </c>
      <c r="R25" s="2233">
        <v>5.63</v>
      </c>
      <c r="S25" s="2233">
        <v>468600</v>
      </c>
      <c r="T25" s="2233">
        <v>83000</v>
      </c>
      <c r="U25" s="2233">
        <v>83000</v>
      </c>
    </row>
    <row r="26" spans="1:21" s="2233" customFormat="1">
      <c r="A26" s="2233" t="s">
        <v>3552</v>
      </c>
      <c r="B26" s="2233" t="s">
        <v>3553</v>
      </c>
      <c r="C26" s="2233">
        <v>57020.91</v>
      </c>
      <c r="D26" s="2233">
        <v>92371</v>
      </c>
      <c r="E26" s="2233" t="s">
        <v>3434</v>
      </c>
      <c r="F26" s="2233" t="s">
        <v>3435</v>
      </c>
      <c r="G26" s="2233" t="s">
        <v>3554</v>
      </c>
      <c r="H26" s="2233" t="s">
        <v>3437</v>
      </c>
      <c r="I26" s="2233" t="s">
        <v>3555</v>
      </c>
      <c r="J26" s="2233" t="s">
        <v>3556</v>
      </c>
      <c r="K26" s="2233" t="s">
        <v>3440</v>
      </c>
      <c r="L26" s="2233" t="s">
        <v>3557</v>
      </c>
      <c r="M26" s="2233">
        <v>637000</v>
      </c>
      <c r="N26" s="2233">
        <v>111713.41</v>
      </c>
      <c r="O26" s="2233">
        <v>7447.56</v>
      </c>
      <c r="P26" s="2233">
        <v>68961</v>
      </c>
      <c r="Q26" s="2233" t="s">
        <v>3438</v>
      </c>
      <c r="R26" s="2233">
        <v>2.58</v>
      </c>
      <c r="S26" s="2233">
        <v>637000</v>
      </c>
      <c r="T26" s="2233" t="s">
        <v>3438</v>
      </c>
      <c r="U26" s="2233" t="s">
        <v>3438</v>
      </c>
    </row>
    <row r="27" spans="1:21" s="2233" customFormat="1">
      <c r="A27" s="2233" t="s">
        <v>3558</v>
      </c>
      <c r="B27" s="2233" t="s">
        <v>3559</v>
      </c>
      <c r="C27" s="2233">
        <v>52686.19</v>
      </c>
      <c r="D27" s="2233">
        <v>83160</v>
      </c>
      <c r="E27" s="2233" t="s">
        <v>3434</v>
      </c>
      <c r="F27" s="2233" t="s">
        <v>3435</v>
      </c>
      <c r="G27" s="2233" t="s">
        <v>3554</v>
      </c>
      <c r="H27" s="2233" t="s">
        <v>3437</v>
      </c>
      <c r="I27" s="2233" t="s">
        <v>3555</v>
      </c>
      <c r="J27" s="2233" t="s">
        <v>3556</v>
      </c>
      <c r="K27" s="2233" t="s">
        <v>3440</v>
      </c>
      <c r="L27" s="2233" t="s">
        <v>3560</v>
      </c>
      <c r="M27" s="2233">
        <v>573000</v>
      </c>
      <c r="N27" s="2233">
        <v>108757.16</v>
      </c>
      <c r="O27" s="2233">
        <v>7250.48</v>
      </c>
      <c r="P27" s="2233">
        <v>68903</v>
      </c>
      <c r="Q27" s="2233" t="s">
        <v>3438</v>
      </c>
      <c r="R27" s="2233">
        <v>2.5</v>
      </c>
      <c r="S27" s="2233">
        <v>573000</v>
      </c>
      <c r="T27" s="2233" t="s">
        <v>3438</v>
      </c>
      <c r="U27" s="2233" t="s">
        <v>3438</v>
      </c>
    </row>
    <row r="28" spans="1:21" s="2233" customFormat="1">
      <c r="A28" s="2233" t="s">
        <v>3561</v>
      </c>
      <c r="B28" s="2233" t="s">
        <v>3562</v>
      </c>
      <c r="C28" s="2233">
        <v>51788.13</v>
      </c>
      <c r="D28" s="2233">
        <v>184800</v>
      </c>
      <c r="E28" s="2233" t="s">
        <v>3460</v>
      </c>
      <c r="F28" s="2233" t="s">
        <v>3563</v>
      </c>
      <c r="G28" s="2233" t="s">
        <v>3564</v>
      </c>
      <c r="H28" s="2233" t="s">
        <v>3437</v>
      </c>
      <c r="I28" s="2233" t="s">
        <v>3438</v>
      </c>
      <c r="J28" s="2233" t="s">
        <v>3565</v>
      </c>
      <c r="K28" s="2233" t="s">
        <v>3440</v>
      </c>
      <c r="L28" s="2233" t="s">
        <v>3566</v>
      </c>
      <c r="M28" s="2233">
        <v>579500</v>
      </c>
      <c r="N28" s="2233">
        <v>111898.23</v>
      </c>
      <c r="O28" s="2233">
        <v>7459.88</v>
      </c>
      <c r="P28" s="2233">
        <v>31358</v>
      </c>
      <c r="Q28" s="2233" t="s">
        <v>3438</v>
      </c>
      <c r="R28" s="2233">
        <v>1.58</v>
      </c>
      <c r="S28" s="2233" t="s">
        <v>3438</v>
      </c>
      <c r="T28" s="2233" t="s">
        <v>3438</v>
      </c>
      <c r="U28" s="2233" t="s">
        <v>3438</v>
      </c>
    </row>
    <row r="29" spans="1:21" s="2233" customFormat="1">
      <c r="A29" s="2233" t="s">
        <v>3567</v>
      </c>
      <c r="B29" s="2233" t="s">
        <v>3568</v>
      </c>
      <c r="C29" s="2233">
        <v>67309.960000000006</v>
      </c>
      <c r="D29" s="2233">
        <v>162845</v>
      </c>
      <c r="E29" s="2233" t="s">
        <v>3447</v>
      </c>
      <c r="F29" s="2233" t="s">
        <v>3569</v>
      </c>
      <c r="G29" s="2233" t="s">
        <v>3570</v>
      </c>
      <c r="H29" s="2233" t="s">
        <v>3437</v>
      </c>
      <c r="I29" s="2233" t="s">
        <v>3438</v>
      </c>
      <c r="J29" s="2233" t="s">
        <v>3571</v>
      </c>
      <c r="K29" s="2233" t="s">
        <v>3440</v>
      </c>
      <c r="L29" s="2233" t="s">
        <v>3572</v>
      </c>
      <c r="M29" s="2233">
        <v>760000</v>
      </c>
      <c r="N29" s="2233">
        <v>112910.48</v>
      </c>
      <c r="O29" s="2233">
        <v>7527.37</v>
      </c>
      <c r="P29" s="2233">
        <v>46670</v>
      </c>
      <c r="Q29" s="2233" t="s">
        <v>3438</v>
      </c>
      <c r="R29" s="2233">
        <v>25.95</v>
      </c>
      <c r="S29" s="2233" t="s">
        <v>3438</v>
      </c>
      <c r="T29" s="2233" t="s">
        <v>3438</v>
      </c>
      <c r="U29" s="2233" t="s">
        <v>3438</v>
      </c>
    </row>
    <row r="30" spans="1:21" s="2233" customFormat="1">
      <c r="A30" s="2233" t="s">
        <v>3573</v>
      </c>
      <c r="B30" s="2233" t="s">
        <v>3574</v>
      </c>
      <c r="C30" s="2233">
        <v>47115.37</v>
      </c>
      <c r="D30" s="2233">
        <v>99865</v>
      </c>
      <c r="E30" s="2233" t="s">
        <v>3447</v>
      </c>
      <c r="F30" s="2233" t="s">
        <v>3511</v>
      </c>
      <c r="G30" s="2233" t="s">
        <v>3575</v>
      </c>
      <c r="H30" s="2233" t="s">
        <v>3576</v>
      </c>
      <c r="I30" s="2233" t="s">
        <v>3438</v>
      </c>
      <c r="J30" s="2233" t="s">
        <v>3577</v>
      </c>
      <c r="K30" s="2233" t="s">
        <v>3440</v>
      </c>
      <c r="L30" s="2233" t="s">
        <v>3578</v>
      </c>
      <c r="M30" s="2233">
        <v>278800</v>
      </c>
      <c r="N30" s="2233">
        <v>59173.89</v>
      </c>
      <c r="O30" s="2233">
        <v>3944.93</v>
      </c>
      <c r="P30" s="2233">
        <v>27918</v>
      </c>
      <c r="Q30" s="2233" t="s">
        <v>3438</v>
      </c>
      <c r="R30" s="2233">
        <v>0</v>
      </c>
      <c r="S30" s="2233" t="s">
        <v>3438</v>
      </c>
      <c r="T30" s="2233" t="s">
        <v>3438</v>
      </c>
      <c r="U30" s="2233">
        <v>44800</v>
      </c>
    </row>
    <row r="31" spans="1:21" s="2233" customFormat="1">
      <c r="A31" s="2233" t="s">
        <v>3579</v>
      </c>
      <c r="B31" s="2233" t="s">
        <v>3580</v>
      </c>
      <c r="C31" s="2233">
        <v>48727.09</v>
      </c>
      <c r="D31" s="2233">
        <v>107538</v>
      </c>
      <c r="E31" s="2233" t="s">
        <v>3447</v>
      </c>
      <c r="F31" s="2233" t="s">
        <v>3511</v>
      </c>
      <c r="G31" s="2233" t="s">
        <v>3581</v>
      </c>
      <c r="H31" s="2233" t="s">
        <v>3437</v>
      </c>
      <c r="I31" s="2233" t="s">
        <v>3438</v>
      </c>
      <c r="J31" s="2233" t="s">
        <v>3582</v>
      </c>
      <c r="K31" s="2233" t="s">
        <v>3440</v>
      </c>
      <c r="L31" s="2233" t="s">
        <v>3583</v>
      </c>
      <c r="M31" s="2233">
        <v>544000</v>
      </c>
      <c r="N31" s="2233">
        <v>111642.21</v>
      </c>
      <c r="O31" s="2233">
        <v>7442.81</v>
      </c>
      <c r="P31" s="2233">
        <v>50587</v>
      </c>
      <c r="Q31" s="2233" t="s">
        <v>3438</v>
      </c>
      <c r="R31" s="2233">
        <v>26.22</v>
      </c>
      <c r="S31" s="2233" t="s">
        <v>3438</v>
      </c>
      <c r="T31" s="2233" t="s">
        <v>3438</v>
      </c>
      <c r="U31" s="2233" t="s">
        <v>3438</v>
      </c>
    </row>
    <row r="32" spans="1:21" s="2233" customFormat="1">
      <c r="A32" s="2233" t="s">
        <v>3584</v>
      </c>
      <c r="B32" s="2233" t="s">
        <v>3585</v>
      </c>
      <c r="C32" s="2233">
        <v>51339.15</v>
      </c>
      <c r="D32" s="2233">
        <v>77009</v>
      </c>
      <c r="E32" s="2233" t="s">
        <v>3434</v>
      </c>
      <c r="F32" s="2233" t="s">
        <v>3435</v>
      </c>
      <c r="G32" s="2233" t="s">
        <v>3586</v>
      </c>
      <c r="H32" s="2233" t="s">
        <v>3437</v>
      </c>
      <c r="I32" s="2233" t="s">
        <v>3438</v>
      </c>
      <c r="J32" s="2233" t="s">
        <v>3587</v>
      </c>
      <c r="K32" s="2233" t="s">
        <v>3440</v>
      </c>
      <c r="L32" s="2233" t="s">
        <v>3588</v>
      </c>
      <c r="M32" s="2233">
        <v>539600</v>
      </c>
      <c r="N32" s="2233">
        <v>105104.98</v>
      </c>
      <c r="O32" s="2233">
        <v>7007</v>
      </c>
      <c r="P32" s="2233">
        <v>70070</v>
      </c>
      <c r="Q32" s="2233" t="s">
        <v>3438</v>
      </c>
      <c r="R32" s="2233">
        <v>0</v>
      </c>
      <c r="S32" s="2233" t="s">
        <v>3438</v>
      </c>
      <c r="T32" s="2233" t="s">
        <v>3438</v>
      </c>
      <c r="U32" s="2233" t="s">
        <v>3438</v>
      </c>
    </row>
    <row r="33" spans="1:21" s="2233" customFormat="1">
      <c r="A33" s="2233" t="s">
        <v>3589</v>
      </c>
      <c r="B33" s="2233" t="s">
        <v>3590</v>
      </c>
      <c r="C33" s="2233">
        <v>65039.11</v>
      </c>
      <c r="D33" s="2233">
        <v>132382.13</v>
      </c>
      <c r="E33" s="2233" t="s">
        <v>3447</v>
      </c>
      <c r="F33" s="2233" t="s">
        <v>3511</v>
      </c>
      <c r="G33" s="2233" t="s">
        <v>3591</v>
      </c>
      <c r="H33" s="2233" t="s">
        <v>3437</v>
      </c>
      <c r="I33" s="2233" t="s">
        <v>3438</v>
      </c>
      <c r="J33" s="2233" t="s">
        <v>3587</v>
      </c>
      <c r="K33" s="2233" t="s">
        <v>3440</v>
      </c>
      <c r="L33" s="2233" t="s">
        <v>3592</v>
      </c>
      <c r="M33" s="2233">
        <v>329000</v>
      </c>
      <c r="N33" s="2233">
        <v>50584.95</v>
      </c>
      <c r="O33" s="2233">
        <v>3372.33</v>
      </c>
      <c r="P33" s="2233">
        <v>24852</v>
      </c>
      <c r="Q33" s="2233" t="s">
        <v>3438</v>
      </c>
      <c r="R33" s="2233">
        <v>0</v>
      </c>
      <c r="S33" s="2233" t="s">
        <v>3438</v>
      </c>
      <c r="T33" s="2233" t="s">
        <v>3438</v>
      </c>
      <c r="U33" s="2233">
        <v>37000</v>
      </c>
    </row>
    <row r="34" spans="1:21" s="2233" customFormat="1">
      <c r="A34" s="2233" t="s">
        <v>3593</v>
      </c>
      <c r="B34" s="2233" t="s">
        <v>3594</v>
      </c>
      <c r="C34" s="2233">
        <v>44507.26</v>
      </c>
      <c r="D34" s="2233">
        <v>66760</v>
      </c>
      <c r="E34" s="2233" t="s">
        <v>3434</v>
      </c>
      <c r="F34" s="2233" t="s">
        <v>3435</v>
      </c>
      <c r="G34" s="2233" t="s">
        <v>3586</v>
      </c>
      <c r="H34" s="2233" t="s">
        <v>3437</v>
      </c>
      <c r="I34" s="2233" t="s">
        <v>3438</v>
      </c>
      <c r="J34" s="2233" t="s">
        <v>3587</v>
      </c>
      <c r="K34" s="2233" t="s">
        <v>3440</v>
      </c>
      <c r="L34" s="2233" t="s">
        <v>3595</v>
      </c>
      <c r="M34" s="2233">
        <v>467500</v>
      </c>
      <c r="N34" s="2233">
        <v>105039.05</v>
      </c>
      <c r="O34" s="2233">
        <v>7002.6</v>
      </c>
      <c r="P34" s="2233">
        <v>70027</v>
      </c>
      <c r="Q34" s="2233" t="s">
        <v>3438</v>
      </c>
      <c r="R34" s="2233">
        <v>0</v>
      </c>
      <c r="S34" s="2233" t="s">
        <v>3438</v>
      </c>
      <c r="T34" s="2233" t="s">
        <v>3438</v>
      </c>
      <c r="U34" s="2233" t="s">
        <v>3438</v>
      </c>
    </row>
    <row r="35" spans="1:21" s="2233" customFormat="1">
      <c r="A35" s="2233" t="s">
        <v>3596</v>
      </c>
      <c r="B35" s="2233" t="s">
        <v>3597</v>
      </c>
      <c r="C35" s="2233">
        <v>70601.070000000007</v>
      </c>
      <c r="D35" s="2233">
        <v>285523</v>
      </c>
      <c r="E35" s="2233" t="s">
        <v>3460</v>
      </c>
      <c r="F35" s="2233" t="s">
        <v>3484</v>
      </c>
      <c r="G35" s="2233" t="s">
        <v>3598</v>
      </c>
      <c r="H35" s="2233" t="s">
        <v>3576</v>
      </c>
      <c r="I35" s="2233" t="s">
        <v>3438</v>
      </c>
      <c r="J35" s="2233" t="s">
        <v>3599</v>
      </c>
      <c r="K35" s="2233" t="s">
        <v>3440</v>
      </c>
      <c r="L35" s="2233" t="s">
        <v>3600</v>
      </c>
      <c r="M35" s="2233">
        <v>660900</v>
      </c>
      <c r="N35" s="2233">
        <v>93610.48</v>
      </c>
      <c r="O35" s="2233">
        <v>6240.7</v>
      </c>
      <c r="P35" s="2233">
        <v>23147</v>
      </c>
      <c r="Q35" s="2233" t="s">
        <v>3438</v>
      </c>
      <c r="R35" s="2233">
        <v>0</v>
      </c>
      <c r="S35" s="2233" t="s">
        <v>3438</v>
      </c>
      <c r="T35" s="2233" t="s">
        <v>3438</v>
      </c>
      <c r="U35" s="2233" t="s">
        <v>3438</v>
      </c>
    </row>
    <row r="36" spans="1:21" s="2233" customFormat="1">
      <c r="A36" s="2233" t="s">
        <v>3601</v>
      </c>
      <c r="B36" s="2233" t="s">
        <v>3602</v>
      </c>
      <c r="C36" s="2233">
        <v>22035.93</v>
      </c>
      <c r="D36" s="2233">
        <v>61700.6</v>
      </c>
      <c r="E36" s="2233" t="s">
        <v>3460</v>
      </c>
      <c r="F36" s="2233" t="s">
        <v>3563</v>
      </c>
      <c r="G36" s="2233" t="s">
        <v>3603</v>
      </c>
      <c r="H36" s="2233" t="s">
        <v>3437</v>
      </c>
      <c r="I36" s="2233" t="s">
        <v>3438</v>
      </c>
      <c r="J36" s="2233" t="s">
        <v>3604</v>
      </c>
      <c r="K36" s="2233" t="s">
        <v>3440</v>
      </c>
      <c r="L36" s="2233" t="s">
        <v>3605</v>
      </c>
      <c r="M36" s="2233">
        <v>103700</v>
      </c>
      <c r="N36" s="2233">
        <v>47059.5</v>
      </c>
      <c r="O36" s="2233">
        <v>3137.3</v>
      </c>
      <c r="P36" s="2233">
        <v>16807</v>
      </c>
      <c r="Q36" s="2233" t="s">
        <v>3438</v>
      </c>
      <c r="R36" s="2233">
        <v>0</v>
      </c>
      <c r="S36" s="2233" t="s">
        <v>3438</v>
      </c>
      <c r="T36" s="2233" t="s">
        <v>3438</v>
      </c>
      <c r="U36" s="2233" t="s">
        <v>3438</v>
      </c>
    </row>
    <row r="37" spans="1:21" s="2233" customFormat="1">
      <c r="A37" s="2233" t="s">
        <v>3606</v>
      </c>
      <c r="B37" s="2233" t="s">
        <v>3607</v>
      </c>
      <c r="C37" s="2233">
        <v>32158.94</v>
      </c>
      <c r="D37" s="2233">
        <v>96476.82</v>
      </c>
      <c r="E37" s="2233" t="s">
        <v>3460</v>
      </c>
      <c r="F37" s="2233" t="s">
        <v>3608</v>
      </c>
      <c r="G37" s="2233" t="s">
        <v>3609</v>
      </c>
      <c r="H37" s="2233" t="s">
        <v>3437</v>
      </c>
      <c r="I37" s="2233" t="s">
        <v>3438</v>
      </c>
      <c r="J37" s="2233" t="s">
        <v>3610</v>
      </c>
      <c r="K37" s="2233" t="s">
        <v>3440</v>
      </c>
      <c r="L37" s="2233" t="s">
        <v>3611</v>
      </c>
      <c r="M37" s="2233">
        <v>263800</v>
      </c>
      <c r="N37" s="2233">
        <v>82030.070000000007</v>
      </c>
      <c r="O37" s="2233">
        <v>5468.67</v>
      </c>
      <c r="P37" s="2233">
        <v>27343</v>
      </c>
      <c r="Q37" s="2233" t="s">
        <v>3438</v>
      </c>
      <c r="R37" s="2233">
        <v>0</v>
      </c>
      <c r="S37" s="2233" t="s">
        <v>3438</v>
      </c>
      <c r="T37" s="2233" t="s">
        <v>3438</v>
      </c>
      <c r="U37" s="2233" t="s">
        <v>3438</v>
      </c>
    </row>
    <row r="38" spans="1:21" s="2233" customFormat="1">
      <c r="A38" s="2233" t="s">
        <v>3612</v>
      </c>
      <c r="B38" s="2233" t="s">
        <v>3613</v>
      </c>
      <c r="C38" s="2233">
        <v>34507.51</v>
      </c>
      <c r="D38" s="2233">
        <v>94282.53</v>
      </c>
      <c r="E38" s="2233" t="s">
        <v>3447</v>
      </c>
      <c r="F38" s="2233" t="s">
        <v>3614</v>
      </c>
      <c r="G38" s="2233" t="s">
        <v>3615</v>
      </c>
      <c r="H38" s="2233" t="s">
        <v>3437</v>
      </c>
      <c r="I38" s="2233" t="s">
        <v>3438</v>
      </c>
      <c r="J38" s="2233" t="s">
        <v>3610</v>
      </c>
      <c r="K38" s="2233" t="s">
        <v>3440</v>
      </c>
      <c r="L38" s="2233" t="s">
        <v>3611</v>
      </c>
      <c r="M38" s="2233">
        <v>256450</v>
      </c>
      <c r="N38" s="2233">
        <v>74317.16</v>
      </c>
      <c r="O38" s="2233">
        <v>4954.4799999999996</v>
      </c>
      <c r="P38" s="2233">
        <v>27200</v>
      </c>
      <c r="Q38" s="2233" t="s">
        <v>3438</v>
      </c>
      <c r="R38" s="2233">
        <v>0</v>
      </c>
      <c r="S38" s="2233" t="s">
        <v>3438</v>
      </c>
      <c r="T38" s="2233" t="s">
        <v>3438</v>
      </c>
      <c r="U38" s="2233" t="s">
        <v>3438</v>
      </c>
    </row>
    <row r="39" spans="1:21" s="2233" customFormat="1">
      <c r="A39" s="2233" t="s">
        <v>3616</v>
      </c>
      <c r="B39" s="2233" t="s">
        <v>3617</v>
      </c>
      <c r="C39" s="2233">
        <v>239378.2</v>
      </c>
      <c r="D39" s="2233">
        <v>302600</v>
      </c>
      <c r="E39" s="2233" t="s">
        <v>3447</v>
      </c>
      <c r="F39" s="2233" t="s">
        <v>3618</v>
      </c>
      <c r="G39" s="2233" t="s">
        <v>3619</v>
      </c>
      <c r="H39" s="2233" t="s">
        <v>3576</v>
      </c>
      <c r="I39" s="2233" t="s">
        <v>3438</v>
      </c>
      <c r="J39" s="2233" t="s">
        <v>3620</v>
      </c>
      <c r="K39" s="2233" t="s">
        <v>3440</v>
      </c>
      <c r="L39" s="2233" t="s">
        <v>3621</v>
      </c>
      <c r="M39" s="2233">
        <v>630000</v>
      </c>
      <c r="N39" s="2233">
        <v>26318.18</v>
      </c>
      <c r="O39" s="2233">
        <v>1754.55</v>
      </c>
      <c r="P39" s="2233">
        <v>20820</v>
      </c>
      <c r="Q39" s="2233" t="s">
        <v>3438</v>
      </c>
      <c r="R39" s="2233">
        <v>0</v>
      </c>
      <c r="S39" s="2233" t="s">
        <v>3438</v>
      </c>
      <c r="T39" s="2233" t="s">
        <v>3438</v>
      </c>
      <c r="U39" s="2233">
        <v>55188</v>
      </c>
    </row>
    <row r="40" spans="1:21" s="2233" customFormat="1">
      <c r="A40" s="2233" t="s">
        <v>3622</v>
      </c>
      <c r="B40" s="2233" t="s">
        <v>3623</v>
      </c>
      <c r="C40" s="2233">
        <v>14680.08</v>
      </c>
      <c r="D40" s="2233">
        <v>31629</v>
      </c>
      <c r="E40" s="2233" t="s">
        <v>3447</v>
      </c>
      <c r="F40" s="2233" t="s">
        <v>3624</v>
      </c>
      <c r="G40" s="2233" t="s">
        <v>3625</v>
      </c>
      <c r="H40" s="2233" t="s">
        <v>3576</v>
      </c>
      <c r="I40" s="2233" t="s">
        <v>3438</v>
      </c>
      <c r="J40" s="2233" t="s">
        <v>3620</v>
      </c>
      <c r="K40" s="2233" t="s">
        <v>3440</v>
      </c>
      <c r="L40" s="2233" t="s">
        <v>3578</v>
      </c>
      <c r="M40" s="2233">
        <v>76000</v>
      </c>
      <c r="N40" s="2233">
        <v>51770.83</v>
      </c>
      <c r="O40" s="2233">
        <v>3451.39</v>
      </c>
      <c r="P40" s="2233">
        <v>24029</v>
      </c>
      <c r="Q40" s="2233" t="s">
        <v>3438</v>
      </c>
      <c r="R40" s="2233">
        <v>0</v>
      </c>
      <c r="S40" s="2233" t="s">
        <v>3438</v>
      </c>
      <c r="T40" s="2233" t="s">
        <v>3438</v>
      </c>
      <c r="U40" s="2233">
        <v>43600</v>
      </c>
    </row>
    <row r="41" spans="1:21" s="2233" customFormat="1">
      <c r="A41" s="2233" t="s">
        <v>3626</v>
      </c>
      <c r="B41" s="2233" t="s">
        <v>3627</v>
      </c>
      <c r="C41" s="2233">
        <v>68981.53</v>
      </c>
      <c r="D41" s="2233">
        <v>141907</v>
      </c>
      <c r="E41" s="2233" t="s">
        <v>3447</v>
      </c>
      <c r="F41" s="2233" t="s">
        <v>3628</v>
      </c>
      <c r="G41" s="2233" t="s">
        <v>3629</v>
      </c>
      <c r="H41" s="2233" t="s">
        <v>3576</v>
      </c>
      <c r="I41" s="2233" t="s">
        <v>3438</v>
      </c>
      <c r="J41" s="2233" t="s">
        <v>3620</v>
      </c>
      <c r="K41" s="2233" t="s">
        <v>3440</v>
      </c>
      <c r="L41" s="2233" t="s">
        <v>3578</v>
      </c>
      <c r="M41" s="2233">
        <v>389000</v>
      </c>
      <c r="N41" s="2233">
        <v>56391.9</v>
      </c>
      <c r="O41" s="2233">
        <v>3759.46</v>
      </c>
      <c r="P41" s="2233">
        <v>27412</v>
      </c>
      <c r="Q41" s="2233" t="s">
        <v>3438</v>
      </c>
      <c r="R41" s="2233">
        <v>0</v>
      </c>
      <c r="S41" s="2233" t="s">
        <v>3438</v>
      </c>
      <c r="T41" s="2233" t="s">
        <v>3438</v>
      </c>
      <c r="U41" s="2233">
        <v>44800</v>
      </c>
    </row>
    <row r="42" spans="1:21" s="2233" customFormat="1">
      <c r="A42" s="2233" t="s">
        <v>3630</v>
      </c>
      <c r="B42" s="2233" t="s">
        <v>3631</v>
      </c>
      <c r="C42" s="2233">
        <v>74772.84</v>
      </c>
      <c r="D42" s="2233">
        <v>134591</v>
      </c>
      <c r="E42" s="2233" t="s">
        <v>3434</v>
      </c>
      <c r="F42" s="2233" t="s">
        <v>3435</v>
      </c>
      <c r="G42" s="2233" t="s">
        <v>3479</v>
      </c>
      <c r="H42" s="2233" t="s">
        <v>3437</v>
      </c>
      <c r="I42" s="2233" t="s">
        <v>3438</v>
      </c>
      <c r="J42" s="2233" t="s">
        <v>3632</v>
      </c>
      <c r="K42" s="2233" t="s">
        <v>3440</v>
      </c>
      <c r="L42" s="2233" t="s">
        <v>3633</v>
      </c>
      <c r="M42" s="2233">
        <v>550000</v>
      </c>
      <c r="N42" s="2233">
        <v>73556.12</v>
      </c>
      <c r="O42" s="2233">
        <v>4903.74</v>
      </c>
      <c r="P42" s="2233">
        <v>40865</v>
      </c>
      <c r="Q42" s="2233" t="s">
        <v>3438</v>
      </c>
      <c r="R42" s="2233">
        <v>16.45</v>
      </c>
      <c r="S42" s="2233" t="s">
        <v>3438</v>
      </c>
      <c r="T42" s="2233" t="s">
        <v>3438</v>
      </c>
      <c r="U42" s="2233">
        <v>53000</v>
      </c>
    </row>
    <row r="43" spans="1:21" s="2233" customFormat="1">
      <c r="A43" s="2233" t="s">
        <v>3634</v>
      </c>
      <c r="B43" s="2233" t="s">
        <v>3635</v>
      </c>
      <c r="C43" s="2233">
        <v>6180.98</v>
      </c>
      <c r="D43" s="2233">
        <v>32400</v>
      </c>
      <c r="E43" s="2233" t="s">
        <v>3434</v>
      </c>
      <c r="F43" s="2233" t="s">
        <v>3435</v>
      </c>
      <c r="G43" s="2233" t="s">
        <v>3636</v>
      </c>
      <c r="H43" s="2233" t="s">
        <v>3576</v>
      </c>
      <c r="I43" s="2233" t="s">
        <v>3438</v>
      </c>
      <c r="J43" s="2233" t="s">
        <v>3637</v>
      </c>
      <c r="K43" s="2233" t="s">
        <v>3440</v>
      </c>
      <c r="L43" s="2233" t="s">
        <v>3638</v>
      </c>
      <c r="M43" s="2233" t="s">
        <v>3438</v>
      </c>
      <c r="N43" s="2233" t="s">
        <v>3438</v>
      </c>
      <c r="O43" s="2233" t="s">
        <v>3438</v>
      </c>
      <c r="P43" s="2233" t="s">
        <v>3438</v>
      </c>
      <c r="Q43" s="2233" t="s">
        <v>3438</v>
      </c>
      <c r="R43" s="2233">
        <v>0</v>
      </c>
      <c r="S43" s="2233" t="s">
        <v>3438</v>
      </c>
      <c r="T43" s="2233" t="s">
        <v>3438</v>
      </c>
      <c r="U43" s="2233" t="s">
        <v>3438</v>
      </c>
    </row>
    <row r="44" spans="1:21" s="2233" customFormat="1">
      <c r="A44" s="2233" t="s">
        <v>3639</v>
      </c>
      <c r="B44" s="2233" t="s">
        <v>3640</v>
      </c>
      <c r="C44" s="2233">
        <v>105309.9</v>
      </c>
      <c r="D44" s="2233">
        <v>201320</v>
      </c>
      <c r="E44" s="2233" t="s">
        <v>3447</v>
      </c>
      <c r="F44" s="2233" t="s">
        <v>3641</v>
      </c>
      <c r="G44" s="2233" t="s">
        <v>3642</v>
      </c>
      <c r="H44" s="2233" t="s">
        <v>3437</v>
      </c>
      <c r="I44" s="2233" t="s">
        <v>3438</v>
      </c>
      <c r="J44" s="2233" t="s">
        <v>3643</v>
      </c>
      <c r="K44" s="2233" t="s">
        <v>3440</v>
      </c>
      <c r="L44" s="2233" t="s">
        <v>3644</v>
      </c>
      <c r="M44" s="2233">
        <v>762000</v>
      </c>
      <c r="N44" s="2233">
        <v>72357.87</v>
      </c>
      <c r="O44" s="2233">
        <v>4823.8599999999997</v>
      </c>
      <c r="P44" s="2233">
        <v>37850</v>
      </c>
      <c r="Q44" s="2233" t="s">
        <v>3438</v>
      </c>
      <c r="R44" s="2233">
        <v>10.039999999999999</v>
      </c>
      <c r="S44" s="2233" t="s">
        <v>3438</v>
      </c>
      <c r="T44" s="2233" t="s">
        <v>3438</v>
      </c>
      <c r="U44" s="2233">
        <v>58622</v>
      </c>
    </row>
    <row r="45" spans="1:21" s="2233" customFormat="1">
      <c r="A45" s="2233" t="s">
        <v>3645</v>
      </c>
      <c r="B45" s="2233" t="s">
        <v>3646</v>
      </c>
      <c r="C45" s="2233">
        <v>15240.2</v>
      </c>
      <c r="D45" s="2233">
        <v>86800</v>
      </c>
      <c r="E45" s="2233" t="s">
        <v>3460</v>
      </c>
      <c r="F45" s="2233" t="s">
        <v>3563</v>
      </c>
      <c r="G45" s="2233" t="s">
        <v>3647</v>
      </c>
      <c r="H45" s="2233" t="s">
        <v>3437</v>
      </c>
      <c r="I45" s="2233" t="s">
        <v>3438</v>
      </c>
      <c r="J45" s="2233" t="s">
        <v>3643</v>
      </c>
      <c r="K45" s="2233" t="s">
        <v>3440</v>
      </c>
      <c r="L45" s="2233" t="s">
        <v>3648</v>
      </c>
      <c r="M45" s="2233">
        <v>242500</v>
      </c>
      <c r="N45" s="2233">
        <v>159118.64000000001</v>
      </c>
      <c r="O45" s="2233">
        <v>10607.91</v>
      </c>
      <c r="P45" s="2233">
        <v>27938</v>
      </c>
      <c r="Q45" s="2233" t="s">
        <v>3438</v>
      </c>
      <c r="R45" s="2233">
        <v>2.11</v>
      </c>
      <c r="S45" s="2233" t="s">
        <v>3438</v>
      </c>
      <c r="T45" s="2233" t="s">
        <v>3438</v>
      </c>
      <c r="U45" s="2233" t="s">
        <v>3438</v>
      </c>
    </row>
    <row r="46" spans="1:21" s="2233" customFormat="1">
      <c r="A46" s="2233" t="s">
        <v>3649</v>
      </c>
      <c r="B46" s="2233" t="s">
        <v>3650</v>
      </c>
      <c r="C46" s="2233">
        <v>84786.55</v>
      </c>
      <c r="D46" s="2233">
        <v>186530</v>
      </c>
      <c r="E46" s="2233" t="s">
        <v>3434</v>
      </c>
      <c r="F46" s="2233" t="s">
        <v>3435</v>
      </c>
      <c r="G46" s="2233" t="s">
        <v>3491</v>
      </c>
      <c r="H46" s="2233" t="s">
        <v>3437</v>
      </c>
      <c r="I46" s="2233" t="s">
        <v>3438</v>
      </c>
      <c r="J46" s="2233" t="s">
        <v>3651</v>
      </c>
      <c r="K46" s="2233" t="s">
        <v>3440</v>
      </c>
      <c r="L46" s="2233" t="s">
        <v>3652</v>
      </c>
      <c r="M46" s="2233">
        <v>535500</v>
      </c>
      <c r="N46" s="2233">
        <v>63158.6</v>
      </c>
      <c r="O46" s="2233">
        <v>4210.57</v>
      </c>
      <c r="P46" s="2233">
        <v>28709</v>
      </c>
      <c r="Q46" s="2233" t="s">
        <v>3438</v>
      </c>
      <c r="R46" s="2233">
        <v>0.51</v>
      </c>
      <c r="S46" s="2233" t="s">
        <v>3438</v>
      </c>
      <c r="T46" s="2233" t="s">
        <v>3438</v>
      </c>
      <c r="U46" s="2233">
        <v>37800</v>
      </c>
    </row>
    <row r="47" spans="1:21" s="2233" customFormat="1">
      <c r="A47" s="2233" t="s">
        <v>3653</v>
      </c>
      <c r="B47" s="2233" t="s">
        <v>3654</v>
      </c>
      <c r="C47" s="2233">
        <v>10423.85</v>
      </c>
      <c r="D47" s="2233">
        <v>31272</v>
      </c>
      <c r="E47" s="2233" t="s">
        <v>3447</v>
      </c>
      <c r="F47" s="2233" t="s">
        <v>3655</v>
      </c>
      <c r="G47" s="2233" t="s">
        <v>3656</v>
      </c>
      <c r="H47" s="2233" t="s">
        <v>3437</v>
      </c>
      <c r="I47" s="2233" t="s">
        <v>3438</v>
      </c>
      <c r="J47" s="2233" t="s">
        <v>3657</v>
      </c>
      <c r="K47" s="2233" t="s">
        <v>3440</v>
      </c>
      <c r="L47" s="2233" t="s">
        <v>3501</v>
      </c>
      <c r="M47" s="2233">
        <v>165000</v>
      </c>
      <c r="N47" s="2233">
        <v>158290.84</v>
      </c>
      <c r="O47" s="2233">
        <v>10552.72</v>
      </c>
      <c r="P47" s="2233">
        <v>52763</v>
      </c>
      <c r="Q47" s="2233">
        <v>55180</v>
      </c>
      <c r="R47" s="2233">
        <v>33.5</v>
      </c>
      <c r="S47" s="2233">
        <v>165000</v>
      </c>
      <c r="T47" s="2233" t="s">
        <v>3438</v>
      </c>
      <c r="U47" s="2233">
        <v>85373</v>
      </c>
    </row>
    <row r="48" spans="1:21" s="2233" customFormat="1">
      <c r="A48" s="2233" t="s">
        <v>3658</v>
      </c>
      <c r="B48" s="2233" t="s">
        <v>3659</v>
      </c>
      <c r="C48" s="2233">
        <v>82336.42</v>
      </c>
      <c r="D48" s="2233">
        <v>139022</v>
      </c>
      <c r="E48" s="2233" t="s">
        <v>3434</v>
      </c>
      <c r="F48" s="2233" t="s">
        <v>3435</v>
      </c>
      <c r="G48" s="2233" t="s">
        <v>3660</v>
      </c>
      <c r="H48" s="2233" t="s">
        <v>3437</v>
      </c>
      <c r="I48" s="2233" t="s">
        <v>3438</v>
      </c>
      <c r="J48" s="2233" t="s">
        <v>3661</v>
      </c>
      <c r="K48" s="2233" t="s">
        <v>3440</v>
      </c>
      <c r="L48" s="2233" t="s">
        <v>3662</v>
      </c>
      <c r="M48" s="2233">
        <v>580800</v>
      </c>
      <c r="N48" s="2233">
        <v>70539.87</v>
      </c>
      <c r="O48" s="2233">
        <v>4702.66</v>
      </c>
      <c r="P48" s="2233">
        <v>41778</v>
      </c>
      <c r="Q48" s="2233" t="s">
        <v>3438</v>
      </c>
      <c r="R48" s="2233">
        <v>20</v>
      </c>
      <c r="S48" s="2233">
        <v>580800</v>
      </c>
      <c r="T48" s="2233" t="s">
        <v>3438</v>
      </c>
      <c r="U48" s="2233">
        <v>53000</v>
      </c>
    </row>
    <row r="49" spans="1:21" s="2233" customFormat="1">
      <c r="A49" s="2233" t="s">
        <v>3663</v>
      </c>
      <c r="B49" s="2233" t="s">
        <v>3664</v>
      </c>
      <c r="C49" s="2233">
        <v>54881.23</v>
      </c>
      <c r="D49" s="2233">
        <v>104288</v>
      </c>
      <c r="E49" s="2233" t="s">
        <v>3434</v>
      </c>
      <c r="F49" s="2233" t="s">
        <v>3435</v>
      </c>
      <c r="G49" s="2233" t="s">
        <v>3665</v>
      </c>
      <c r="H49" s="2233" t="s">
        <v>3437</v>
      </c>
      <c r="I49" s="2233" t="s">
        <v>3438</v>
      </c>
      <c r="J49" s="2233" t="s">
        <v>3661</v>
      </c>
      <c r="K49" s="2233" t="s">
        <v>3440</v>
      </c>
      <c r="L49" s="2233" t="s">
        <v>3666</v>
      </c>
      <c r="M49" s="2233">
        <v>180550</v>
      </c>
      <c r="N49" s="2233">
        <v>32898.31</v>
      </c>
      <c r="O49" s="2233">
        <v>2193.2199999999998</v>
      </c>
      <c r="P49" s="2233">
        <v>17313</v>
      </c>
      <c r="Q49" s="2233">
        <v>36646</v>
      </c>
      <c r="R49" s="2233">
        <v>15</v>
      </c>
      <c r="S49" s="2233">
        <v>180550</v>
      </c>
      <c r="T49" s="2233" t="s">
        <v>3438</v>
      </c>
      <c r="U49" s="2233">
        <v>53000</v>
      </c>
    </row>
    <row r="50" spans="1:21" s="2233" customFormat="1">
      <c r="A50" s="2233" t="s">
        <v>3667</v>
      </c>
      <c r="B50" s="2233" t="s">
        <v>3668</v>
      </c>
      <c r="C50" s="2233">
        <v>84241.64</v>
      </c>
      <c r="D50" s="2233">
        <v>183336</v>
      </c>
      <c r="E50" s="2233" t="s">
        <v>3447</v>
      </c>
      <c r="F50" s="2233" t="s">
        <v>3669</v>
      </c>
      <c r="G50" s="2233" t="s">
        <v>3670</v>
      </c>
      <c r="H50" s="2233" t="s">
        <v>3437</v>
      </c>
      <c r="I50" s="2233" t="s">
        <v>3438</v>
      </c>
      <c r="J50" s="2233" t="s">
        <v>3671</v>
      </c>
      <c r="K50" s="2233" t="s">
        <v>3440</v>
      </c>
      <c r="L50" s="2233" t="s">
        <v>3672</v>
      </c>
      <c r="M50" s="2233">
        <v>576000</v>
      </c>
      <c r="N50" s="2233">
        <v>68374.73</v>
      </c>
      <c r="O50" s="2233">
        <v>4558.32</v>
      </c>
      <c r="P50" s="2233">
        <v>31418</v>
      </c>
      <c r="Q50" s="2233" t="s">
        <v>3438</v>
      </c>
      <c r="R50" s="2233">
        <v>47.69</v>
      </c>
      <c r="S50" s="2233">
        <v>576000</v>
      </c>
      <c r="T50" s="2233" t="s">
        <v>3438</v>
      </c>
      <c r="U50" s="2233">
        <v>53400</v>
      </c>
    </row>
    <row r="51" spans="1:21" s="2233" customFormat="1">
      <c r="A51" s="2233" t="s">
        <v>3673</v>
      </c>
      <c r="B51" s="2233" t="s">
        <v>3674</v>
      </c>
      <c r="C51" s="2233">
        <v>83549.62</v>
      </c>
      <c r="D51" s="2233">
        <v>138825</v>
      </c>
      <c r="E51" s="2233" t="s">
        <v>3434</v>
      </c>
      <c r="F51" s="2233" t="s">
        <v>3435</v>
      </c>
      <c r="G51" s="2233" t="s">
        <v>3675</v>
      </c>
      <c r="H51" s="2233" t="s">
        <v>3437</v>
      </c>
      <c r="I51" s="2233" t="s">
        <v>3438</v>
      </c>
      <c r="J51" s="2233" t="s">
        <v>3676</v>
      </c>
      <c r="K51" s="2233" t="s">
        <v>3440</v>
      </c>
      <c r="L51" s="2233" t="s">
        <v>3677</v>
      </c>
      <c r="M51" s="2233">
        <v>500000</v>
      </c>
      <c r="N51" s="2233">
        <v>59844.67</v>
      </c>
      <c r="O51" s="2233">
        <v>3989.65</v>
      </c>
      <c r="P51" s="2233">
        <v>36017</v>
      </c>
      <c r="Q51" s="2233" t="s">
        <v>3438</v>
      </c>
      <c r="R51" s="2233">
        <v>30.21</v>
      </c>
      <c r="S51" s="2233">
        <v>500000</v>
      </c>
      <c r="T51" s="2233" t="s">
        <v>3438</v>
      </c>
      <c r="U51" s="2233">
        <v>53400</v>
      </c>
    </row>
    <row r="52" spans="1:21" s="2233" customFormat="1"/>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16" zoomScale="115" zoomScaleNormal="80" zoomScaleSheetLayoutView="115" workbookViewId="0">
      <selection activeCell="C13" sqref="C13:C17"/>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31" s="1652" customFormat="1" ht="18" customHeight="1">
      <c r="A2" s="1707" t="s">
        <v>427</v>
      </c>
      <c r="B2" s="1711">
        <f ca="1">C36</f>
        <v>253650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34929</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116235</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7749</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SUM(C10:K10)</f>
        <v>418438</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851</v>
      </c>
      <c r="D7" s="405" t="s">
        <v>3732</v>
      </c>
      <c r="E7" s="405" t="s">
        <v>3742</v>
      </c>
      <c r="F7" s="405"/>
      <c r="G7" s="405"/>
      <c r="H7" s="405"/>
      <c r="I7" s="405"/>
      <c r="J7" s="405"/>
      <c r="K7" s="406"/>
      <c r="AA7" s="1718"/>
      <c r="AB7" s="1718"/>
      <c r="AC7" s="1718"/>
      <c r="AD7" s="1718"/>
      <c r="AE7" s="1718"/>
    </row>
    <row r="8" spans="1:31" s="1721" customFormat="1" ht="13.5" customHeight="1">
      <c r="A8" s="737" t="s">
        <v>1374</v>
      </c>
      <c r="B8" s="240" t="s">
        <v>432</v>
      </c>
      <c r="C8" s="2138">
        <f>'不动产比较法-住宅'!B3</f>
        <v>84180</v>
      </c>
      <c r="D8" s="2138">
        <f>'不动产比较法-仓储'!B3</f>
        <v>22656</v>
      </c>
      <c r="E8" s="2138">
        <f>'不动产比较法-车位'!B3</f>
        <v>6202</v>
      </c>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47623.45</v>
      </c>
      <c r="D9" s="410">
        <f>SUMIF('数据-汇总表'!$C19:$C33,'剩余法-待开发'!D7,'数据-汇总表'!$E19:$E33)</f>
        <v>3496.29</v>
      </c>
      <c r="E9" s="410">
        <f>SUMIF('数据-汇总表'!$C19:$C33,'剩余法-待开发'!E7,'数据-汇总表'!$E19:$E33)</f>
        <v>15515.510000000002</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3">
        <f>'不动产比较法-住宅'!B2</f>
        <v>400894</v>
      </c>
      <c r="D10" s="2313">
        <f>'不动产比较法-仓储'!B2</f>
        <v>7921</v>
      </c>
      <c r="E10" s="2313">
        <f>'不动产比较法-车位'!B2</f>
        <v>9623</v>
      </c>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47756</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1433</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1000</v>
      </c>
      <c r="D15" s="2148"/>
      <c r="E15" s="338"/>
      <c r="F15" s="2152">
        <f>'数据-取费表'!B34</f>
        <v>0.03</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1452</v>
      </c>
      <c r="D16" s="2148">
        <f ca="1">IF(B1="",'数据-汇总表'!E3,INDIRECT("'数据-取费表'!K"&amp;$K$1)+INDIRECT("'数据-取费表'!S"&amp;$K$1))</f>
        <v>72618.101999999999</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955</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52596</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72618.101999999999</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1262</v>
      </c>
      <c r="D20" s="2157"/>
      <c r="E20" s="1629"/>
      <c r="F20" s="2158"/>
      <c r="G20" s="2342"/>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762</v>
      </c>
      <c r="D21" s="2148">
        <f ca="1">IF(B1="",'数据-汇总表'!E5,IF(INDIRECT("'数据-取费表'!c"&amp;$K$1)="住宅",INDIRECT("'数据-取费表'!k"&amp;$K$1),0))</f>
        <v>47623.45</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500</v>
      </c>
      <c r="D22" s="2148">
        <f ca="1">IF(B1="",'数据-汇总表'!E6,IF(INDIRECT("'数据-取费表'!c"&amp;$K$1)="住宅",INDIRECT("'数据-取费表'!s"&amp;$K$1),INDIRECT("'数据-取费表'!k"&amp;$K$1)+INDIRECT("'数据-取费表'!s"&amp;$K$1)))</f>
        <v>24994.652000000002</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808</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6277</v>
      </c>
      <c r="D24" s="443"/>
      <c r="E24" s="441"/>
      <c r="F24" s="2159">
        <f>'数据-取费表'!B38</f>
        <v>1.4999999999999999E-2</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7"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8" t="s">
        <v>2111</v>
      </c>
      <c r="C26" s="2160">
        <f ca="1">C28</f>
        <v>2371</v>
      </c>
      <c r="D26" s="435">
        <f ca="1">C27</f>
        <v>8.1600000000000006E-2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8.1600000000000006E-2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2371</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ROUND(C6*F29/(1+'数据-取费表'!C42),0)</f>
        <v>21918</v>
      </c>
      <c r="D29" s="436"/>
      <c r="E29" s="436"/>
      <c r="F29" s="2319">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85232</v>
      </c>
      <c r="D30" s="445">
        <f ca="1">C32</f>
        <v>0.1106</v>
      </c>
      <c r="E30" s="437" t="s">
        <v>455</v>
      </c>
      <c r="F30" s="439"/>
      <c r="G30" s="2124" t="s">
        <v>2221</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85232</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0.1106</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6" t="s">
        <v>2108</v>
      </c>
      <c r="B33" s="2314" t="s">
        <v>2106</v>
      </c>
      <c r="C33" s="446">
        <f ca="1">C35</f>
        <v>9751</v>
      </c>
      <c r="D33" s="435">
        <f ca="1">C34</f>
        <v>0.1646</v>
      </c>
      <c r="E33" s="437" t="s">
        <v>455</v>
      </c>
      <c r="F33" s="447">
        <f ca="1">IF(B1="",'数据-取费表'!Q16,INDIRECT("'数据-取费表'!q"&amp;$K$1))</f>
        <v>0.16</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0.1646</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5" t="s">
        <v>2114</v>
      </c>
      <c r="C35" s="1348">
        <f ca="1">ROUND((C18+C19+C20+C23+C24)*F33,0)</f>
        <v>9751</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253650</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6"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47756</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1433</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1000</v>
      </c>
      <c r="D15" s="419"/>
      <c r="E15" s="338"/>
      <c r="F15" s="424">
        <f>'数据-取费表'!B34</f>
        <v>0.03</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1452</v>
      </c>
      <c r="D16" s="419">
        <f ca="1">IF(B1="",'数据-汇总表'!E3,INDIRECT("'数据-取费表'!K"&amp;$K$1)+INDIRECT("'数据-取费表'!S"&amp;$K$1))</f>
        <v>72618.101999999999</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955</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52596</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789</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2077</v>
      </c>
      <c r="D20" s="430">
        <f ca="1">ROUND(((1+F20)^'数据-取费表'!B20)-1,4)</f>
        <v>7.9299999999999995E-2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2287</v>
      </c>
      <c r="B21" s="2314" t="s">
        <v>2107</v>
      </c>
      <c r="C21" s="446">
        <f ca="1">ROUND((C18+C19)*F21,0)</f>
        <v>8542</v>
      </c>
      <c r="D21" s="2782"/>
      <c r="E21" s="430"/>
      <c r="F21" s="447">
        <f ca="1">IF(B1="",'数据-取费表'!Q16,INDIRECT("'数据-取费表'!q"&amp;$K$1))</f>
        <v>0.16</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2288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54" t="s">
        <v>1394</v>
      </c>
      <c r="B24" s="3755"/>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54" t="s">
        <v>2285</v>
      </c>
      <c r="B25" s="3755"/>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54" t="s">
        <v>2286</v>
      </c>
      <c r="B26" s="3755"/>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6" t="s">
        <v>2284</v>
      </c>
      <c r="B27" s="3757"/>
      <c r="C27" s="2800">
        <f ca="1">(C6-C23-C24-C25)/((1+F26)*(1+D20+F21))</f>
        <v>0</v>
      </c>
      <c r="D27" s="2801"/>
      <c r="E27" s="2801"/>
      <c r="F27" s="2801"/>
      <c r="G27" s="2802" t="s">
        <v>2222</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36" t="s">
        <v>471</v>
      </c>
      <c r="D6" s="3737"/>
      <c r="E6" s="3763" t="s">
        <v>472</v>
      </c>
      <c r="F6" s="3764"/>
      <c r="G6" s="3736" t="s">
        <v>473</v>
      </c>
      <c r="H6" s="3737"/>
      <c r="I6" s="3736" t="s">
        <v>474</v>
      </c>
      <c r="J6" s="3737"/>
      <c r="K6" s="464" t="s">
        <v>475</v>
      </c>
      <c r="L6" s="1739"/>
      <c r="M6" s="1740"/>
      <c r="N6" s="1740"/>
      <c r="O6" s="1740"/>
      <c r="P6" s="3738" t="s">
        <v>476</v>
      </c>
      <c r="Q6" s="3739"/>
      <c r="R6" s="3722" t="s">
        <v>472</v>
      </c>
      <c r="S6" s="3723"/>
      <c r="T6" s="3722" t="s">
        <v>473</v>
      </c>
      <c r="U6" s="3723"/>
      <c r="V6" s="3744" t="s">
        <v>474</v>
      </c>
      <c r="W6" s="3744"/>
      <c r="X6" s="1300"/>
      <c r="Y6" s="3722" t="s">
        <v>476</v>
      </c>
      <c r="Z6" s="3723"/>
      <c r="AA6" s="3717" t="s">
        <v>472</v>
      </c>
      <c r="AB6" s="3718" t="s">
        <v>473</v>
      </c>
      <c r="AC6" s="3717" t="s">
        <v>474</v>
      </c>
    </row>
    <row r="7" spans="1:29" ht="15">
      <c r="A7" s="465"/>
      <c r="B7" s="466"/>
      <c r="C7" s="3747" t="s">
        <v>2183</v>
      </c>
      <c r="D7" s="3748"/>
      <c r="E7" s="3765" t="s">
        <v>2184</v>
      </c>
      <c r="F7" s="3766"/>
      <c r="G7" s="3747" t="s">
        <v>2185</v>
      </c>
      <c r="H7" s="3748"/>
      <c r="I7" s="3747" t="s">
        <v>2186</v>
      </c>
      <c r="J7" s="3748"/>
      <c r="K7" s="464"/>
      <c r="L7" s="1739"/>
      <c r="M7" s="1740"/>
      <c r="N7" s="1740"/>
      <c r="O7" s="1740"/>
      <c r="P7" s="3740"/>
      <c r="Q7" s="3741"/>
      <c r="R7" s="3724"/>
      <c r="S7" s="3725"/>
      <c r="T7" s="3724"/>
      <c r="U7" s="3725"/>
      <c r="V7" s="3744"/>
      <c r="W7" s="3744"/>
      <c r="X7" s="1300"/>
      <c r="Y7" s="3724"/>
      <c r="Z7" s="3725"/>
      <c r="AA7" s="3718"/>
      <c r="AB7" s="3718"/>
      <c r="AC7" s="3718"/>
    </row>
    <row r="8" spans="1:29" ht="15.75" thickBot="1">
      <c r="A8" s="467"/>
      <c r="B8" s="468"/>
      <c r="C8" s="3745" t="s">
        <v>2187</v>
      </c>
      <c r="D8" s="3746"/>
      <c r="E8" s="3767" t="s">
        <v>2187</v>
      </c>
      <c r="F8" s="3768"/>
      <c r="G8" s="3745" t="s">
        <v>2187</v>
      </c>
      <c r="H8" s="3746"/>
      <c r="I8" s="3745" t="s">
        <v>2187</v>
      </c>
      <c r="J8" s="3746"/>
      <c r="K8" s="464" t="s">
        <v>477</v>
      </c>
      <c r="L8" s="1739"/>
      <c r="M8" s="1740"/>
      <c r="N8" s="1740"/>
      <c r="O8" s="1740"/>
      <c r="P8" s="3742"/>
      <c r="Q8" s="3743"/>
      <c r="R8" s="3724"/>
      <c r="S8" s="3725"/>
      <c r="T8" s="3726"/>
      <c r="U8" s="3727"/>
      <c r="V8" s="3744"/>
      <c r="W8" s="3744"/>
      <c r="X8" s="1300"/>
      <c r="Y8" s="3726"/>
      <c r="Z8" s="3727"/>
      <c r="AA8" s="3719"/>
      <c r="AB8" s="3719"/>
      <c r="AC8" s="3719"/>
    </row>
    <row r="9" spans="1:29" s="1057" customFormat="1" ht="15.75" thickBot="1">
      <c r="A9" s="2207"/>
      <c r="B9" s="2214"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20" t="s">
        <v>479</v>
      </c>
      <c r="Q9" s="3729"/>
      <c r="R9" s="1301" t="s">
        <v>5</v>
      </c>
      <c r="S9" s="1302">
        <f t="shared" ref="S9:S17" si="0">F9</f>
        <v>0</v>
      </c>
      <c r="T9" s="1301" t="s">
        <v>5</v>
      </c>
      <c r="U9" s="1302">
        <f t="shared" ref="U9:U17" si="1">H9</f>
        <v>0</v>
      </c>
      <c r="V9" s="1301" t="s">
        <v>5</v>
      </c>
      <c r="W9" s="1302">
        <f t="shared" ref="W9:W17" si="2">J9</f>
        <v>0</v>
      </c>
      <c r="X9" s="1303"/>
      <c r="Y9" s="3720" t="s">
        <v>479</v>
      </c>
      <c r="Z9" s="3721"/>
      <c r="AA9" s="994" t="e">
        <f>D9/F9</f>
        <v>#DIV/0!</v>
      </c>
      <c r="AB9" s="994" t="e">
        <f>D9/H9</f>
        <v>#DIV/0!</v>
      </c>
      <c r="AC9" s="994" t="e">
        <f>D9/J9</f>
        <v>#DIV/0!</v>
      </c>
    </row>
    <row r="10" spans="1:29" s="1057" customFormat="1" ht="15.75" thickBot="1">
      <c r="A10" s="2208"/>
      <c r="B10" s="2215"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20" t="s">
        <v>482</v>
      </c>
      <c r="Q10" s="3721"/>
      <c r="R10" s="1301" t="s">
        <v>5</v>
      </c>
      <c r="S10" s="1302">
        <f t="shared" si="0"/>
        <v>0</v>
      </c>
      <c r="T10" s="1301" t="s">
        <v>5</v>
      </c>
      <c r="U10" s="1302">
        <f t="shared" si="1"/>
        <v>0</v>
      </c>
      <c r="V10" s="1301" t="s">
        <v>5</v>
      </c>
      <c r="W10" s="1302">
        <f t="shared" si="2"/>
        <v>0</v>
      </c>
      <c r="X10" s="1303"/>
      <c r="Y10" s="3720" t="s">
        <v>482</v>
      </c>
      <c r="Z10" s="3721"/>
      <c r="AA10" s="994" t="e">
        <f t="shared" ref="AA10:AA42" si="3">D10/F10</f>
        <v>#DIV/0!</v>
      </c>
      <c r="AB10" s="994" t="e">
        <f t="shared" ref="AB10:AB42" si="4">D10/H10</f>
        <v>#DIV/0!</v>
      </c>
      <c r="AC10" s="994" t="e">
        <f t="shared" ref="AC10:AC42" si="5">D10/J10</f>
        <v>#DIV/0!</v>
      </c>
    </row>
    <row r="11" spans="1:29" s="1057" customFormat="1" ht="15">
      <c r="A11" s="2209"/>
      <c r="B11" s="2216"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28" t="s">
        <v>484</v>
      </c>
      <c r="Q11" s="815" t="str">
        <f t="shared" ref="Q11:Q17" si="6">B11</f>
        <v>用途</v>
      </c>
      <c r="R11" s="1301" t="s">
        <v>5</v>
      </c>
      <c r="S11" s="1302">
        <f t="shared" si="0"/>
        <v>100</v>
      </c>
      <c r="T11" s="1301" t="s">
        <v>5</v>
      </c>
      <c r="U11" s="1302">
        <f t="shared" si="1"/>
        <v>100</v>
      </c>
      <c r="V11" s="1301" t="s">
        <v>5</v>
      </c>
      <c r="W11" s="1302">
        <f t="shared" si="2"/>
        <v>100</v>
      </c>
      <c r="X11" s="1303"/>
      <c r="Y11" s="3680" t="s">
        <v>485</v>
      </c>
      <c r="Z11" s="994" t="str">
        <f t="shared" ref="Z11:Z17" si="7">Q11</f>
        <v>用途</v>
      </c>
      <c r="AA11" s="994">
        <f t="shared" si="3"/>
        <v>1</v>
      </c>
      <c r="AB11" s="994">
        <f t="shared" si="4"/>
        <v>1</v>
      </c>
      <c r="AC11" s="994">
        <f t="shared" si="5"/>
        <v>1</v>
      </c>
    </row>
    <row r="12" spans="1:29" s="1130" customFormat="1" ht="27">
      <c r="A12" s="2210"/>
      <c r="B12" s="2215"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28"/>
      <c r="Q12" s="815" t="str">
        <f t="shared" si="6"/>
        <v>土地使用年限（年）</v>
      </c>
      <c r="R12" s="1301" t="s">
        <v>5</v>
      </c>
      <c r="S12" s="1302">
        <f t="shared" si="0"/>
        <v>100</v>
      </c>
      <c r="T12" s="1301" t="s">
        <v>5</v>
      </c>
      <c r="U12" s="1302">
        <f t="shared" si="1"/>
        <v>100</v>
      </c>
      <c r="V12" s="1301" t="s">
        <v>5</v>
      </c>
      <c r="W12" s="1302">
        <f t="shared" si="2"/>
        <v>100</v>
      </c>
      <c r="X12" s="1303"/>
      <c r="Y12" s="3680"/>
      <c r="Z12" s="994" t="str">
        <f t="shared" si="7"/>
        <v>土地使用年限（年）</v>
      </c>
      <c r="AA12" s="994">
        <f t="shared" si="3"/>
        <v>1</v>
      </c>
      <c r="AB12" s="994">
        <f t="shared" si="4"/>
        <v>1</v>
      </c>
      <c r="AC12" s="994">
        <f t="shared" si="5"/>
        <v>1</v>
      </c>
    </row>
    <row r="13" spans="1:29" ht="15">
      <c r="A13" s="2211"/>
      <c r="B13" s="2215"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28"/>
      <c r="Q13" s="815" t="str">
        <f t="shared" si="6"/>
        <v>容积率</v>
      </c>
      <c r="R13" s="1301" t="s">
        <v>5</v>
      </c>
      <c r="S13" s="1302" t="e">
        <f t="shared" si="0"/>
        <v>#N/A</v>
      </c>
      <c r="T13" s="1301" t="s">
        <v>5</v>
      </c>
      <c r="U13" s="1302" t="e">
        <f t="shared" si="1"/>
        <v>#N/A</v>
      </c>
      <c r="V13" s="1301" t="s">
        <v>5</v>
      </c>
      <c r="W13" s="1302" t="e">
        <f t="shared" si="2"/>
        <v>#N/A</v>
      </c>
      <c r="X13" s="1303"/>
      <c r="Y13" s="3680"/>
      <c r="Z13" s="994" t="str">
        <f t="shared" si="7"/>
        <v>容积率</v>
      </c>
      <c r="AA13" s="994" t="e">
        <f t="shared" si="3"/>
        <v>#N/A</v>
      </c>
      <c r="AB13" s="994" t="e">
        <f t="shared" si="4"/>
        <v>#N/A</v>
      </c>
      <c r="AC13" s="994" t="e">
        <f t="shared" si="5"/>
        <v>#N/A</v>
      </c>
    </row>
    <row r="14" spans="1:29" s="1057"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D14/F14</f>
        <v>1</v>
      </c>
      <c r="AB14" s="994">
        <f>D14/H14</f>
        <v>1</v>
      </c>
      <c r="AC14" s="994">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28"/>
      <c r="Q15" s="815">
        <f t="shared" si="6"/>
        <v>111</v>
      </c>
      <c r="R15" s="1301" t="s">
        <v>5</v>
      </c>
      <c r="S15" s="1302">
        <f t="shared" si="0"/>
        <v>100</v>
      </c>
      <c r="T15" s="1301" t="s">
        <v>5</v>
      </c>
      <c r="U15" s="1302">
        <f t="shared" si="1"/>
        <v>100</v>
      </c>
      <c r="V15" s="1301" t="s">
        <v>5</v>
      </c>
      <c r="W15" s="1302">
        <f t="shared" si="2"/>
        <v>100</v>
      </c>
      <c r="X15" s="1303"/>
      <c r="Y15" s="3680"/>
      <c r="Z15" s="994">
        <f t="shared" si="7"/>
        <v>111</v>
      </c>
      <c r="AA15" s="994">
        <f t="shared" si="3"/>
        <v>1</v>
      </c>
      <c r="AB15" s="994">
        <f t="shared" si="4"/>
        <v>1</v>
      </c>
      <c r="AC15" s="994">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28"/>
      <c r="Q16" s="815">
        <f t="shared" si="6"/>
        <v>111</v>
      </c>
      <c r="R16" s="1301" t="s">
        <v>5</v>
      </c>
      <c r="S16" s="1302">
        <f t="shared" si="0"/>
        <v>100</v>
      </c>
      <c r="T16" s="1301" t="s">
        <v>5</v>
      </c>
      <c r="U16" s="1302">
        <f t="shared" si="1"/>
        <v>100</v>
      </c>
      <c r="V16" s="1301" t="s">
        <v>5</v>
      </c>
      <c r="W16" s="1302">
        <f t="shared" si="2"/>
        <v>100</v>
      </c>
      <c r="X16" s="1303"/>
      <c r="Y16" s="3680"/>
      <c r="Z16" s="994">
        <f t="shared" si="7"/>
        <v>111</v>
      </c>
      <c r="AA16" s="994">
        <f t="shared" si="3"/>
        <v>1</v>
      </c>
      <c r="AB16" s="994">
        <f t="shared" si="4"/>
        <v>1</v>
      </c>
      <c r="AC16" s="994">
        <f t="shared" si="5"/>
        <v>1</v>
      </c>
    </row>
    <row r="17" spans="1:29" ht="57">
      <c r="A17" s="2205"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30" t="s">
        <v>489</v>
      </c>
      <c r="Q17" s="1304" t="str">
        <f t="shared" si="6"/>
        <v>产业集聚程度</v>
      </c>
      <c r="R17" s="1305" t="s">
        <v>5</v>
      </c>
      <c r="S17" s="1306">
        <f t="shared" si="0"/>
        <v>100</v>
      </c>
      <c r="T17" s="1305" t="s">
        <v>5</v>
      </c>
      <c r="U17" s="1306">
        <f t="shared" si="1"/>
        <v>100</v>
      </c>
      <c r="V17" s="1305" t="s">
        <v>5</v>
      </c>
      <c r="W17" s="1306">
        <f t="shared" si="2"/>
        <v>100</v>
      </c>
      <c r="X17" s="1300"/>
      <c r="Y17" s="3730"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31"/>
      <c r="Q18" s="1304"/>
      <c r="R18" s="1305"/>
      <c r="S18" s="1306"/>
      <c r="T18" s="1305"/>
      <c r="U18" s="1306"/>
      <c r="V18" s="1305"/>
      <c r="W18" s="1306"/>
      <c r="X18" s="1300"/>
      <c r="Y18" s="3731"/>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31"/>
      <c r="Q19" s="1304" t="str">
        <f>B19</f>
        <v>交通便捷度</v>
      </c>
      <c r="R19" s="1305" t="s">
        <v>5</v>
      </c>
      <c r="S19" s="1306">
        <f>F19</f>
        <v>100</v>
      </c>
      <c r="T19" s="1305" t="s">
        <v>5</v>
      </c>
      <c r="U19" s="1306">
        <f>H19</f>
        <v>100</v>
      </c>
      <c r="V19" s="1305" t="s">
        <v>5</v>
      </c>
      <c r="W19" s="1306">
        <f>J19</f>
        <v>100</v>
      </c>
      <c r="X19" s="1300"/>
      <c r="Y19" s="3731"/>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31"/>
      <c r="Q21" s="1304" t="str">
        <f t="shared" ref="Q21:Q35" si="8">B21</f>
        <v>区域土地利用方向</v>
      </c>
      <c r="R21" s="1305" t="s">
        <v>5</v>
      </c>
      <c r="S21" s="1306">
        <f>F21</f>
        <v>100</v>
      </c>
      <c r="T21" s="1305" t="s">
        <v>5</v>
      </c>
      <c r="U21" s="1306">
        <f>H21</f>
        <v>100</v>
      </c>
      <c r="V21" s="1305" t="s">
        <v>5</v>
      </c>
      <c r="W21" s="1306">
        <f>J21</f>
        <v>100</v>
      </c>
      <c r="X21" s="1300"/>
      <c r="Y21" s="3731"/>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31"/>
      <c r="Q22" s="1304"/>
      <c r="R22" s="1305"/>
      <c r="S22" s="1306"/>
      <c r="T22" s="1305"/>
      <c r="U22" s="1306"/>
      <c r="V22" s="1305"/>
      <c r="W22" s="1306"/>
      <c r="X22" s="1300"/>
      <c r="Y22" s="3731"/>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31"/>
      <c r="Q23" s="1304" t="str">
        <f t="shared" si="8"/>
        <v>环境状况</v>
      </c>
      <c r="R23" s="1305" t="s">
        <v>5</v>
      </c>
      <c r="S23" s="1306">
        <f>F23</f>
        <v>100</v>
      </c>
      <c r="T23" s="1305" t="s">
        <v>5</v>
      </c>
      <c r="U23" s="1306">
        <f>H23</f>
        <v>100</v>
      </c>
      <c r="V23" s="1305" t="s">
        <v>5</v>
      </c>
      <c r="W23" s="1306">
        <f>J23</f>
        <v>100</v>
      </c>
      <c r="X23" s="1300"/>
      <c r="Y23" s="3731"/>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31"/>
      <c r="Q24" s="1304"/>
      <c r="R24" s="1305"/>
      <c r="S24" s="1306"/>
      <c r="T24" s="1305"/>
      <c r="U24" s="1306"/>
      <c r="V24" s="1305"/>
      <c r="W24" s="1306"/>
      <c r="X24" s="1300"/>
      <c r="Y24" s="3731"/>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31"/>
      <c r="Q25" s="815" t="str">
        <f t="shared" si="8"/>
        <v>公共配套设施</v>
      </c>
      <c r="R25" s="1301" t="s">
        <v>5</v>
      </c>
      <c r="S25" s="1302">
        <f>F25</f>
        <v>100</v>
      </c>
      <c r="T25" s="1301" t="s">
        <v>5</v>
      </c>
      <c r="U25" s="1302">
        <f>H25</f>
        <v>100</v>
      </c>
      <c r="V25" s="1301" t="s">
        <v>5</v>
      </c>
      <c r="W25" s="1302">
        <f>J25</f>
        <v>100</v>
      </c>
      <c r="X25" s="1303"/>
      <c r="Y25" s="3731"/>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31"/>
      <c r="Q26" s="815"/>
      <c r="R26" s="1301"/>
      <c r="S26" s="1302"/>
      <c r="T26" s="1301"/>
      <c r="U26" s="1302"/>
      <c r="V26" s="1301"/>
      <c r="W26" s="1302"/>
      <c r="X26" s="1303"/>
      <c r="Y26" s="3731"/>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31"/>
      <c r="Q27" s="815" t="str">
        <f>B27</f>
        <v>基础设施水平</v>
      </c>
      <c r="R27" s="1301" t="s">
        <v>5</v>
      </c>
      <c r="S27" s="1302">
        <f>F27</f>
        <v>100</v>
      </c>
      <c r="T27" s="1301" t="s">
        <v>5</v>
      </c>
      <c r="U27" s="1302">
        <f>H27</f>
        <v>100</v>
      </c>
      <c r="V27" s="1301" t="s">
        <v>5</v>
      </c>
      <c r="W27" s="1302">
        <f>J27</f>
        <v>100</v>
      </c>
      <c r="X27" s="1303"/>
      <c r="Y27" s="3731"/>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31"/>
      <c r="Q28" s="815"/>
      <c r="R28" s="1301"/>
      <c r="S28" s="1302"/>
      <c r="T28" s="1301"/>
      <c r="U28" s="1302"/>
      <c r="V28" s="1301"/>
      <c r="W28" s="1302"/>
      <c r="X28" s="1303"/>
      <c r="Y28" s="3731"/>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31"/>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31"/>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31"/>
      <c r="Q30" s="1304" t="str">
        <f t="shared" si="8"/>
        <v>毗邻道路的类型与等级</v>
      </c>
      <c r="R30" s="1305" t="s">
        <v>5</v>
      </c>
      <c r="S30" s="1306">
        <f t="shared" si="9"/>
        <v>100</v>
      </c>
      <c r="T30" s="1305" t="s">
        <v>5</v>
      </c>
      <c r="U30" s="1306">
        <f t="shared" si="10"/>
        <v>100</v>
      </c>
      <c r="V30" s="1305" t="s">
        <v>5</v>
      </c>
      <c r="W30" s="1306">
        <f t="shared" si="11"/>
        <v>100</v>
      </c>
      <c r="X30" s="1300"/>
      <c r="Y30" s="3731"/>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31"/>
      <c r="Q31" s="1304"/>
      <c r="R31" s="1305"/>
      <c r="S31" s="1306"/>
      <c r="T31" s="1305"/>
      <c r="U31" s="1306"/>
      <c r="V31" s="1305"/>
      <c r="W31" s="1306"/>
      <c r="X31" s="1300"/>
      <c r="Y31" s="3731"/>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31"/>
      <c r="Q32" s="1304" t="str">
        <f t="shared" si="8"/>
        <v>土地级别</v>
      </c>
      <c r="R32" s="1305" t="s">
        <v>5</v>
      </c>
      <c r="S32" s="1306">
        <f t="shared" si="9"/>
        <v>100</v>
      </c>
      <c r="T32" s="1305" t="s">
        <v>5</v>
      </c>
      <c r="U32" s="1306">
        <f t="shared" si="10"/>
        <v>100</v>
      </c>
      <c r="V32" s="1305" t="s">
        <v>5</v>
      </c>
      <c r="W32" s="1306">
        <f t="shared" si="11"/>
        <v>100</v>
      </c>
      <c r="X32" s="1300"/>
      <c r="Y32" s="3731"/>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31"/>
      <c r="Q33" s="1304">
        <f t="shared" si="8"/>
        <v>111</v>
      </c>
      <c r="R33" s="1305" t="s">
        <v>5</v>
      </c>
      <c r="S33" s="1306">
        <f t="shared" si="9"/>
        <v>100</v>
      </c>
      <c r="T33" s="1305" t="s">
        <v>5</v>
      </c>
      <c r="U33" s="1306">
        <f t="shared" si="10"/>
        <v>100</v>
      </c>
      <c r="V33" s="1305" t="s">
        <v>5</v>
      </c>
      <c r="W33" s="1306">
        <f t="shared" si="11"/>
        <v>100</v>
      </c>
      <c r="X33" s="1300"/>
      <c r="Y33" s="3731"/>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32" t="s">
        <v>499</v>
      </c>
      <c r="Q34" s="1304">
        <f t="shared" si="8"/>
        <v>111</v>
      </c>
      <c r="R34" s="1305" t="s">
        <v>5</v>
      </c>
      <c r="S34" s="1306">
        <f t="shared" si="9"/>
        <v>100</v>
      </c>
      <c r="T34" s="1305" t="s">
        <v>5</v>
      </c>
      <c r="U34" s="1306">
        <f t="shared" si="10"/>
        <v>100</v>
      </c>
      <c r="V34" s="1305" t="s">
        <v>5</v>
      </c>
      <c r="W34" s="1306">
        <f t="shared" si="11"/>
        <v>100</v>
      </c>
      <c r="X34" s="1300"/>
      <c r="Y34" s="3733"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33"/>
      <c r="Q35" s="1304">
        <f t="shared" si="8"/>
        <v>111</v>
      </c>
      <c r="R35" s="1308" t="s">
        <v>5</v>
      </c>
      <c r="S35" s="1309">
        <f t="shared" si="9"/>
        <v>100</v>
      </c>
      <c r="T35" s="1308" t="s">
        <v>5</v>
      </c>
      <c r="U35" s="1309">
        <f t="shared" si="10"/>
        <v>100</v>
      </c>
      <c r="V35" s="1308" t="s">
        <v>5</v>
      </c>
      <c r="W35" s="1309">
        <f t="shared" si="11"/>
        <v>100</v>
      </c>
      <c r="X35" s="1310"/>
      <c r="Y35" s="3733"/>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33"/>
      <c r="Q36" s="1304" t="str">
        <f>B36</f>
        <v>宗地面积</v>
      </c>
      <c r="R36" s="1305" t="s">
        <v>5</v>
      </c>
      <c r="S36" s="1306" t="e">
        <f t="shared" si="9"/>
        <v>#N/A</v>
      </c>
      <c r="T36" s="1305" t="s">
        <v>5</v>
      </c>
      <c r="U36" s="1306" t="e">
        <f t="shared" si="10"/>
        <v>#N/A</v>
      </c>
      <c r="V36" s="1305" t="s">
        <v>5</v>
      </c>
      <c r="W36" s="1306" t="e">
        <f t="shared" si="11"/>
        <v>#N/A</v>
      </c>
      <c r="X36" s="1300"/>
      <c r="Y36" s="3733"/>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33"/>
      <c r="Q37" s="1304" t="str">
        <f t="shared" ref="Q37:Q42" si="13">B37</f>
        <v>宗地形状</v>
      </c>
      <c r="R37" s="1305" t="s">
        <v>5</v>
      </c>
      <c r="S37" s="1306">
        <f t="shared" si="9"/>
        <v>100</v>
      </c>
      <c r="T37" s="1305" t="s">
        <v>5</v>
      </c>
      <c r="U37" s="1306">
        <f t="shared" si="10"/>
        <v>100</v>
      </c>
      <c r="V37" s="1305" t="s">
        <v>5</v>
      </c>
      <c r="W37" s="1306">
        <f t="shared" si="11"/>
        <v>100</v>
      </c>
      <c r="X37" s="1300"/>
      <c r="Y37" s="3733"/>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33"/>
      <c r="Q38" s="1304" t="str">
        <f t="shared" si="13"/>
        <v>宗地开发程度</v>
      </c>
      <c r="R38" s="1301" t="s">
        <v>5</v>
      </c>
      <c r="S38" s="1302">
        <f t="shared" si="9"/>
        <v>100</v>
      </c>
      <c r="T38" s="1301" t="s">
        <v>5</v>
      </c>
      <c r="U38" s="1302">
        <f t="shared" si="10"/>
        <v>100</v>
      </c>
      <c r="V38" s="1301" t="s">
        <v>5</v>
      </c>
      <c r="W38" s="1302">
        <f t="shared" si="11"/>
        <v>100</v>
      </c>
      <c r="X38" s="1303"/>
      <c r="Y38" s="3733"/>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33" t="s">
        <v>549</v>
      </c>
      <c r="Q39" s="1304" t="str">
        <f t="shared" si="13"/>
        <v>工程地质条件</v>
      </c>
      <c r="R39" s="1305" t="s">
        <v>5</v>
      </c>
      <c r="S39" s="1306">
        <f t="shared" si="9"/>
        <v>100</v>
      </c>
      <c r="T39" s="1305" t="s">
        <v>5</v>
      </c>
      <c r="U39" s="1306">
        <f t="shared" si="10"/>
        <v>100</v>
      </c>
      <c r="V39" s="1305" t="s">
        <v>5</v>
      </c>
      <c r="W39" s="1306">
        <f t="shared" si="11"/>
        <v>100</v>
      </c>
      <c r="X39" s="1300"/>
      <c r="Y39" s="3733"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33"/>
      <c r="Q40" s="1304">
        <f t="shared" si="13"/>
        <v>111</v>
      </c>
      <c r="R40" s="1305" t="s">
        <v>5</v>
      </c>
      <c r="S40" s="1306">
        <f t="shared" si="9"/>
        <v>100</v>
      </c>
      <c r="T40" s="1305" t="s">
        <v>5</v>
      </c>
      <c r="U40" s="1306">
        <f t="shared" si="10"/>
        <v>100</v>
      </c>
      <c r="V40" s="1305" t="s">
        <v>5</v>
      </c>
      <c r="W40" s="1306">
        <f t="shared" si="11"/>
        <v>100</v>
      </c>
      <c r="X40" s="1300"/>
      <c r="Y40" s="3733"/>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33"/>
      <c r="Q41" s="1304">
        <f t="shared" si="13"/>
        <v>111</v>
      </c>
      <c r="R41" s="1305" t="s">
        <v>5</v>
      </c>
      <c r="S41" s="1306">
        <f t="shared" si="9"/>
        <v>100</v>
      </c>
      <c r="T41" s="1305" t="s">
        <v>5</v>
      </c>
      <c r="U41" s="1306">
        <f t="shared" si="10"/>
        <v>100</v>
      </c>
      <c r="V41" s="1305" t="s">
        <v>5</v>
      </c>
      <c r="W41" s="1306">
        <f t="shared" si="11"/>
        <v>100</v>
      </c>
      <c r="X41" s="1300"/>
      <c r="Y41" s="3733"/>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33"/>
      <c r="Q42" s="1304">
        <f t="shared" si="13"/>
        <v>111</v>
      </c>
      <c r="R42" s="1308" t="s">
        <v>5</v>
      </c>
      <c r="S42" s="1309">
        <f t="shared" si="9"/>
        <v>100</v>
      </c>
      <c r="T42" s="1308" t="s">
        <v>5</v>
      </c>
      <c r="U42" s="1309">
        <f t="shared" si="10"/>
        <v>100</v>
      </c>
      <c r="V42" s="1308" t="s">
        <v>5</v>
      </c>
      <c r="W42" s="1309">
        <f t="shared" si="11"/>
        <v>100</v>
      </c>
      <c r="X42" s="1310"/>
      <c r="Y42" s="3733"/>
      <c r="Z42" s="1311">
        <f t="shared" si="12"/>
        <v>111</v>
      </c>
      <c r="AA42" s="1307">
        <f t="shared" si="3"/>
        <v>1</v>
      </c>
      <c r="AB42" s="1307">
        <f t="shared" si="4"/>
        <v>1</v>
      </c>
      <c r="AC42" s="1307">
        <f t="shared" si="5"/>
        <v>1</v>
      </c>
    </row>
    <row r="43" spans="1:29" ht="15">
      <c r="A43" s="555" t="s">
        <v>505</v>
      </c>
      <c r="B43" s="556" t="s">
        <v>2188</v>
      </c>
      <c r="C43" s="557" t="s">
        <v>0</v>
      </c>
      <c r="D43" s="558"/>
      <c r="E43" s="559"/>
      <c r="F43" s="560"/>
      <c r="G43" s="561"/>
      <c r="H43" s="562"/>
      <c r="I43" s="559"/>
      <c r="J43" s="562"/>
      <c r="K43" s="1132"/>
      <c r="L43" s="1749"/>
      <c r="M43" s="1740"/>
      <c r="N43" s="1740"/>
      <c r="O43" s="1740"/>
      <c r="P43" s="3728" t="str">
        <f>A43</f>
        <v>成交单价</v>
      </c>
      <c r="Q43" s="3728"/>
      <c r="R43" s="3744">
        <f>E43</f>
        <v>0</v>
      </c>
      <c r="S43" s="3744"/>
      <c r="T43" s="3744">
        <f>G43</f>
        <v>0</v>
      </c>
      <c r="U43" s="3744"/>
      <c r="V43" s="3744">
        <f>I43</f>
        <v>0</v>
      </c>
      <c r="W43" s="3744"/>
      <c r="X43" s="798"/>
      <c r="Y43" s="1312"/>
      <c r="Z43" s="798"/>
      <c r="AA43" s="798"/>
      <c r="AB43" s="798"/>
      <c r="AC43" s="798"/>
    </row>
    <row r="44" spans="1:29" ht="15.75" thickBot="1">
      <c r="A44" s="563" t="s">
        <v>1975</v>
      </c>
      <c r="B44" s="564"/>
      <c r="C44" s="565" t="e">
        <f>R45</f>
        <v>#DIV/0!</v>
      </c>
      <c r="D44" s="2548" t="s">
        <v>2252</v>
      </c>
      <c r="E44" s="565" t="e">
        <f>R44</f>
        <v>#DIV/0!</v>
      </c>
      <c r="F44" s="2549"/>
      <c r="G44" s="566" t="e">
        <f>T44</f>
        <v>#DIV/0!</v>
      </c>
      <c r="H44" s="2549"/>
      <c r="I44" s="565" t="e">
        <f>V44</f>
        <v>#DIV/0!</v>
      </c>
      <c r="J44" s="2549"/>
      <c r="K44" s="2550">
        <f>F44+H44+J44</f>
        <v>0</v>
      </c>
      <c r="L44" s="1749"/>
      <c r="M44" s="1740"/>
      <c r="N44" s="1740"/>
      <c r="O44" s="1740"/>
      <c r="P44" s="3728" t="str">
        <f>A44</f>
        <v>比较价格（元/平方米）</v>
      </c>
      <c r="Q44" s="3728"/>
      <c r="R44" s="3753" t="e">
        <f>ROUND(PRODUCT(R43,AA9:AA42),0)</f>
        <v>#DIV/0!</v>
      </c>
      <c r="S44" s="3753"/>
      <c r="T44" s="3753" t="e">
        <f>ROUND(PRODUCT(T43,AB9:AB42),0)</f>
        <v>#DIV/0!</v>
      </c>
      <c r="U44" s="3753"/>
      <c r="V44" s="3753" t="e">
        <f>ROUND(PRODUCT(V43,AC9:AC42),0)</f>
        <v>#DIV/0!</v>
      </c>
      <c r="W44" s="3753"/>
      <c r="X44" s="798"/>
      <c r="Y44" s="798"/>
      <c r="Z44" s="798"/>
      <c r="AA44" s="798"/>
      <c r="AB44" s="798"/>
      <c r="AC44" s="798"/>
    </row>
    <row r="45" spans="1:29" ht="15.75" thickBot="1">
      <c r="A45" s="567" t="s">
        <v>2189</v>
      </c>
      <c r="B45" s="568"/>
      <c r="C45" s="569" t="e">
        <f>R45</f>
        <v>#DIV/0!</v>
      </c>
      <c r="D45" s="569"/>
      <c r="E45" s="569"/>
      <c r="F45" s="569"/>
      <c r="G45" s="569"/>
      <c r="H45" s="569"/>
      <c r="I45" s="569"/>
      <c r="J45" s="569"/>
      <c r="K45" s="1133"/>
      <c r="L45" s="1749"/>
      <c r="M45" s="1740"/>
      <c r="N45" s="1740"/>
      <c r="O45" s="1740"/>
      <c r="P45" s="3734" t="str">
        <f>A45</f>
        <v>估价对象XX用房的比较价格（楼面单价，元/平方米）</v>
      </c>
      <c r="Q45" s="3735"/>
      <c r="R45" s="3762" t="e">
        <f>ROUND(IF(D44="简单平均",AVERAGE(R44:W44),R44*F44+T44*H44+V44*J44),0)</f>
        <v>#DIV/0!</v>
      </c>
      <c r="S45" s="3762"/>
      <c r="T45" s="3762"/>
      <c r="U45" s="3762"/>
      <c r="V45" s="3762"/>
      <c r="W45" s="3762"/>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58" t="s">
        <v>1642</v>
      </c>
      <c r="H52" s="3759"/>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47723.86</v>
      </c>
      <c r="F53" s="1607" t="e">
        <f t="shared" ref="F53:F61" si="14">ROUND(B53*E53/10000,0)</f>
        <v>#DIV/0!</v>
      </c>
      <c r="G53" s="3760"/>
      <c r="H53" s="3761"/>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50.46</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3496.29</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15515.510000000002</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0</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21822.21</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6" t="str">
        <f t="shared" si="24"/>
        <v>(含)-</v>
      </c>
      <c r="L108" s="2347"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2.2000000000000002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6" t="e">
        <f>ROUND(C6*C17+C20,0)</f>
        <v>#DIV/0!</v>
      </c>
      <c r="E5" s="2356"/>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1" t="s">
        <v>3183</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2.2000000000000002</v>
      </c>
      <c r="AA7" s="1790"/>
      <c r="AB7" s="1790"/>
      <c r="AC7" s="1791"/>
      <c r="AD7" s="2224"/>
      <c r="AE7" s="2224"/>
      <c r="AF7" s="2224"/>
      <c r="AG7" s="2224"/>
      <c r="AH7" s="2224"/>
      <c r="AI7" s="2224"/>
      <c r="AJ7" s="2225"/>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777" t="s">
        <v>2060</v>
      </c>
      <c r="X8" s="3778"/>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776"/>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776"/>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3184</v>
      </c>
      <c r="B12" s="3233" t="s">
        <v>3185</v>
      </c>
      <c r="C12" s="3239">
        <v>1.02</v>
      </c>
      <c r="D12" s="3234" t="s">
        <v>3186</v>
      </c>
      <c r="E12" s="3235" t="s">
        <v>3187</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3188</v>
      </c>
      <c r="B13" s="1208" t="s">
        <v>874</v>
      </c>
      <c r="C13" s="3252">
        <f>ROUND(C16*D16*E16*F16*G16*H16*I16*J16,4)</f>
        <v>0</v>
      </c>
      <c r="D13" s="3270" t="s">
        <v>3189</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2" t="s">
        <v>1229</v>
      </c>
      <c r="C14" s="3189" t="s">
        <v>1230</v>
      </c>
      <c r="D14" s="1214" t="s">
        <v>1231</v>
      </c>
      <c r="E14" s="749" t="s">
        <v>3190</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4"/>
      <c r="C15" s="3276"/>
      <c r="D15" s="3277"/>
      <c r="E15" s="3278"/>
      <c r="F15" s="3278"/>
      <c r="G15" s="1035" t="s">
        <v>3191</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4"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3192</v>
      </c>
      <c r="B17" s="3281" t="s">
        <v>3193</v>
      </c>
      <c r="C17" s="3289">
        <f>ROUND(IF(OR(E2="工业",E2="公共服务"),1,IF(AND(E18=0,E19=0),1,IF(AND(E18=J24,E19=G19),0.8,IF(E19=0,1+E17*(-0.2),1+E17*G17*(-0.2))))),4)</f>
        <v>1</v>
      </c>
      <c r="D17" s="3282" t="s">
        <v>3194</v>
      </c>
      <c r="E17" s="3289" t="e">
        <f>ROUND(G18/I18,2)</f>
        <v>#DIV/0!</v>
      </c>
      <c r="F17" s="3282" t="s">
        <v>3197</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3195</v>
      </c>
      <c r="E18" s="3288"/>
      <c r="F18" s="3285" t="s">
        <v>3198</v>
      </c>
      <c r="G18" s="3287">
        <f>ROUND(1-(1/(POWER(1+G24,E18))),4)</f>
        <v>0</v>
      </c>
      <c r="H18" s="3285" t="s">
        <v>3200</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3196</v>
      </c>
      <c r="E19" s="3290"/>
      <c r="F19" s="3286" t="s">
        <v>3199</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70" t="s">
        <v>1370</v>
      </c>
      <c r="B20" s="1203" t="s">
        <v>875</v>
      </c>
      <c r="C20" s="945" t="e">
        <f>ROUND(IF(F21="与级别开发程度一致",0,(G21-E21)/C21),0)</f>
        <v>#DIV/0!</v>
      </c>
      <c r="D20" s="3782" t="s">
        <v>879</v>
      </c>
      <c r="E20" s="3783"/>
      <c r="F20" s="3782" t="s">
        <v>876</v>
      </c>
      <c r="G20" s="3783"/>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771"/>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0</v>
      </c>
      <c r="D22" s="2407"/>
      <c r="E22" s="2408"/>
      <c r="F22" s="2395"/>
      <c r="G22" s="1228"/>
      <c r="H22" s="1228"/>
      <c r="I22" s="1228"/>
      <c r="J22" s="2400"/>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2238</v>
      </c>
      <c r="I23" s="2099" t="str">
        <f>IF(H23="季度增幅（自定义）",SUMIF(N25:N28,E2,O25:O28),"")</f>
        <v/>
      </c>
      <c r="J23" s="3291" t="s">
        <v>3250</v>
      </c>
      <c r="K23" s="2735"/>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2267</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3201</v>
      </c>
      <c r="D26" s="949">
        <f>IF(E26=G26,F26,IF(G3&lt;10,ROUND(F26+(H26-F26)*(G3-E26)/(G26-E26),4),"——"))</f>
        <v>0</v>
      </c>
      <c r="E26" s="939">
        <f>ROUNDDOWN(G3,1)</f>
        <v>2.2000000000000002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2.2000000000000002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3203</v>
      </c>
      <c r="G33" s="1251"/>
      <c r="H33" s="1251"/>
      <c r="I33" s="1251"/>
      <c r="J33" s="1252"/>
      <c r="K33" s="2739"/>
      <c r="L33" s="3361" t="s">
        <v>3229</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3204</v>
      </c>
      <c r="G34" s="1256"/>
      <c r="H34" s="1256"/>
      <c r="I34" s="1256"/>
      <c r="J34" s="1257"/>
      <c r="K34" s="1787"/>
      <c r="L34" s="3361" t="s">
        <v>3230</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4"/>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4"/>
      <c r="K37" s="3364" t="s">
        <v>3232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75"/>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75"/>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75"/>
      <c r="B39" s="3295" t="s">
        <v>3205</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75"/>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2" t="e">
        <f>ROUND(POWER(1+E44,H44-G44)*(POWER(1+E44,G44)-1)/(POWER(1+E44,H44)-1),4)</f>
        <v>#DIV/0!</v>
      </c>
      <c r="D44" s="347" t="s">
        <v>2232</v>
      </c>
      <c r="E44" s="2393">
        <f>G24</f>
        <v>0</v>
      </c>
      <c r="F44" s="347" t="s">
        <v>2233</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3207</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2191</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2190</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3207</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2192</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2190</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3207</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2190</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2190</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3216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3217</v>
      </c>
      <c r="B92" s="3298"/>
      <c r="C92" s="3298" t="s">
        <v>3222</v>
      </c>
      <c r="D92" s="3298" t="s">
        <v>3209</v>
      </c>
      <c r="E92" s="345" t="s">
        <v>3210</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3218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3219</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3207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3211</v>
      </c>
      <c r="B96" s="3302" t="s">
        <v>3212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3220</v>
      </c>
      <c r="B98" s="3329" t="s">
        <v>2190</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3221</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3214</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3215</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72" t="s">
        <v>1172</v>
      </c>
      <c r="B104" s="3772"/>
      <c r="C104" s="3772"/>
      <c r="D104" s="3772"/>
      <c r="E104" s="3772"/>
      <c r="F104" s="3772"/>
      <c r="G104" s="3772"/>
      <c r="H104" s="3772"/>
      <c r="I104" s="3772"/>
      <c r="J104" s="3772"/>
      <c r="K104" s="998"/>
      <c r="L104" s="998"/>
      <c r="M104" s="998"/>
      <c r="N104" s="998"/>
    </row>
    <row r="105" spans="1:36">
      <c r="A105" s="3773" t="s">
        <v>1161</v>
      </c>
      <c r="B105" s="3773" t="s">
        <v>1173</v>
      </c>
      <c r="C105" s="986" t="s">
        <v>1174</v>
      </c>
      <c r="D105" s="987"/>
      <c r="E105" s="987"/>
      <c r="F105" s="987"/>
      <c r="G105" s="987"/>
      <c r="H105" s="987"/>
      <c r="I105" s="987"/>
      <c r="J105" s="988"/>
      <c r="K105" s="981"/>
      <c r="L105" s="981"/>
      <c r="M105" s="981"/>
      <c r="N105" s="981"/>
    </row>
    <row r="106" spans="1:36">
      <c r="A106" s="3773"/>
      <c r="B106" s="3773"/>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79"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80"/>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80"/>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80"/>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80"/>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80"/>
      <c r="B112" s="989" t="s">
        <v>3223</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81"/>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69" t="s">
        <v>1175</v>
      </c>
      <c r="B114" s="3769"/>
      <c r="C114" s="3769"/>
      <c r="D114" s="3769"/>
      <c r="E114" s="3769"/>
      <c r="F114" s="3769"/>
      <c r="G114" s="3769"/>
      <c r="H114" s="3769"/>
      <c r="I114" s="3769"/>
      <c r="J114" s="3769"/>
      <c r="K114" s="1966"/>
      <c r="L114" s="1966"/>
      <c r="M114" s="1966"/>
      <c r="N114" s="1966"/>
    </row>
    <row r="116" spans="1:14" ht="12.75" thickBot="1"/>
    <row r="117" spans="1:14" ht="25.5" thickBot="1">
      <c r="A117" s="924" t="s">
        <v>831</v>
      </c>
      <c r="B117" s="1967">
        <f>G3</f>
        <v>2.2000000000000002</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3224</v>
      </c>
      <c r="B119" s="3299">
        <f>ROUND(0.9968-0.011*B117,4)</f>
        <v>0.97260000000000002</v>
      </c>
      <c r="C119" s="3299">
        <f>B119</f>
        <v>0.97260000000000002</v>
      </c>
      <c r="D119" s="3299">
        <f>ROUND(0.949-0.014*B117,4)</f>
        <v>0.91820000000000002</v>
      </c>
      <c r="E119" s="3299">
        <f>D119</f>
        <v>0.91820000000000002</v>
      </c>
      <c r="F119" s="3299">
        <f>E119</f>
        <v>0.91820000000000002</v>
      </c>
      <c r="G119" s="3299">
        <f>F119</f>
        <v>0.91820000000000002</v>
      </c>
      <c r="H119" s="3299">
        <f>G119</f>
        <v>0.91820000000000002</v>
      </c>
      <c r="I119" s="3299">
        <f>ROUND(0.8486-0.018*B117,4)</f>
        <v>0.80900000000000005</v>
      </c>
      <c r="J119" s="3299">
        <f t="shared" ref="J119:M123" si="35">I119</f>
        <v>0.80900000000000005</v>
      </c>
      <c r="K119" s="3299">
        <f t="shared" si="35"/>
        <v>0.80900000000000005</v>
      </c>
      <c r="L119" s="3299">
        <f t="shared" si="35"/>
        <v>0.80900000000000005</v>
      </c>
      <c r="M119" s="3358">
        <f t="shared" si="35"/>
        <v>0.80900000000000005</v>
      </c>
    </row>
    <row r="120" spans="1:14" ht="12.75">
      <c r="A120" s="3355" t="s">
        <v>3225</v>
      </c>
      <c r="B120" s="3299">
        <f>ROUND(0.993-0.0112*B117,4)</f>
        <v>0.96840000000000004</v>
      </c>
      <c r="C120" s="3299">
        <f>B120</f>
        <v>0.96840000000000004</v>
      </c>
      <c r="D120" s="3299">
        <f>ROUND(0.9415-0.0142*B117,4)</f>
        <v>0.9103</v>
      </c>
      <c r="E120" s="3299">
        <f t="shared" ref="E120:H121" si="36">D120</f>
        <v>0.9103</v>
      </c>
      <c r="F120" s="3299">
        <f t="shared" si="36"/>
        <v>0.9103</v>
      </c>
      <c r="G120" s="3299">
        <f t="shared" si="36"/>
        <v>0.9103</v>
      </c>
      <c r="H120" s="3299">
        <f t="shared" si="36"/>
        <v>0.9103</v>
      </c>
      <c r="I120" s="3299">
        <f>ROUND(0.838-0.0182*B117,4)</f>
        <v>0.79800000000000004</v>
      </c>
      <c r="J120" s="3299">
        <f t="shared" si="35"/>
        <v>0.79800000000000004</v>
      </c>
      <c r="K120" s="3299">
        <f t="shared" si="35"/>
        <v>0.79800000000000004</v>
      </c>
      <c r="L120" s="3299">
        <f t="shared" si="35"/>
        <v>0.79800000000000004</v>
      </c>
      <c r="M120" s="3358">
        <f t="shared" si="35"/>
        <v>0.79800000000000004</v>
      </c>
    </row>
    <row r="121" spans="1:14" ht="12.75">
      <c r="A121" s="3355" t="s">
        <v>3226</v>
      </c>
      <c r="B121" s="3299">
        <f>ROUND(0.9448-0.0115*B117,4)</f>
        <v>0.91949999999999998</v>
      </c>
      <c r="C121" s="3299">
        <f>B121</f>
        <v>0.91949999999999998</v>
      </c>
      <c r="D121" s="3299">
        <f>ROUND(0.937-0.0145*B117,4)</f>
        <v>0.90510000000000002</v>
      </c>
      <c r="E121" s="3299">
        <f t="shared" si="36"/>
        <v>0.90510000000000002</v>
      </c>
      <c r="F121" s="3299">
        <f t="shared" si="36"/>
        <v>0.90510000000000002</v>
      </c>
      <c r="G121" s="3299">
        <f t="shared" si="36"/>
        <v>0.90510000000000002</v>
      </c>
      <c r="H121" s="3299">
        <f t="shared" si="36"/>
        <v>0.90510000000000002</v>
      </c>
      <c r="I121" s="3299">
        <f>ROUND(0.7965-0.0185*B117,4)</f>
        <v>0.75580000000000003</v>
      </c>
      <c r="J121" s="3299">
        <f t="shared" si="35"/>
        <v>0.75580000000000003</v>
      </c>
      <c r="K121" s="3299">
        <f t="shared" si="35"/>
        <v>0.75580000000000003</v>
      </c>
      <c r="L121" s="3299">
        <f t="shared" si="35"/>
        <v>0.75580000000000003</v>
      </c>
      <c r="M121" s="3358">
        <f t="shared" si="35"/>
        <v>0.75580000000000003</v>
      </c>
    </row>
    <row r="122" spans="1:14" ht="13.5" thickBot="1">
      <c r="A122" s="3356" t="s">
        <v>3227</v>
      </c>
      <c r="B122" s="3359">
        <f>ROUND(0.7836-0.012*B117,4)</f>
        <v>0.75719999999999998</v>
      </c>
      <c r="C122" s="3359">
        <f>B122</f>
        <v>0.75719999999999998</v>
      </c>
      <c r="D122" s="3359">
        <f>ROUND(0.753-0.015*B117,4)</f>
        <v>0.72</v>
      </c>
      <c r="E122" s="3359">
        <f>D122</f>
        <v>0.72</v>
      </c>
      <c r="F122" s="3359">
        <f>E122</f>
        <v>0.72</v>
      </c>
      <c r="G122" s="3359">
        <f>ROUND(0.6612-0.018*B117,4)</f>
        <v>0.62160000000000004</v>
      </c>
      <c r="H122" s="3359">
        <f>G122</f>
        <v>0.62160000000000004</v>
      </c>
      <c r="I122" s="3359">
        <f>ROUND(0.5905-0.019*B117,4)</f>
        <v>0.54869999999999997</v>
      </c>
      <c r="J122" s="3359">
        <f t="shared" si="35"/>
        <v>0.54869999999999997</v>
      </c>
      <c r="K122" s="3359">
        <f t="shared" si="35"/>
        <v>0.54869999999999997</v>
      </c>
      <c r="L122" s="3359">
        <f t="shared" si="35"/>
        <v>0.54869999999999997</v>
      </c>
      <c r="M122" s="3360">
        <f t="shared" si="35"/>
        <v>0.54869999999999997</v>
      </c>
    </row>
    <row r="123" spans="1:14" ht="12.75">
      <c r="A123" s="3357" t="s">
        <v>3208</v>
      </c>
      <c r="B123" s="3299">
        <f>ROUND(0.9404-0.0106*B117,4)</f>
        <v>0.91710000000000003</v>
      </c>
      <c r="C123" s="3299">
        <f>B123</f>
        <v>0.91710000000000003</v>
      </c>
      <c r="D123" s="3299">
        <f>ROUND(0.8955-0.0135*B117,4)</f>
        <v>0.86580000000000001</v>
      </c>
      <c r="E123" s="3299">
        <f t="shared" ref="E123:H123" si="37">D123</f>
        <v>0.86580000000000001</v>
      </c>
      <c r="F123" s="3299">
        <f t="shared" si="37"/>
        <v>0.86580000000000001</v>
      </c>
      <c r="G123" s="3299">
        <f t="shared" si="37"/>
        <v>0.86580000000000001</v>
      </c>
      <c r="H123" s="3299">
        <f t="shared" si="37"/>
        <v>0.86580000000000001</v>
      </c>
      <c r="I123" s="3299">
        <f>ROUND(0.7632-0.0166*B117,4)</f>
        <v>0.72670000000000001</v>
      </c>
      <c r="J123" s="3299">
        <f t="shared" si="35"/>
        <v>0.72670000000000001</v>
      </c>
      <c r="K123" s="3299">
        <f t="shared" si="35"/>
        <v>0.72670000000000001</v>
      </c>
      <c r="L123" s="3299">
        <f t="shared" si="35"/>
        <v>0.72670000000000001</v>
      </c>
      <c r="M123" s="3358">
        <f t="shared" si="35"/>
        <v>0.72670000000000001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0" t="s">
        <v>2730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2756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2728</v>
      </c>
      <c r="B7" s="2994">
        <v>2.5</v>
      </c>
      <c r="C7" s="2994">
        <v>2.5</v>
      </c>
      <c r="D7" s="2994">
        <v>2</v>
      </c>
      <c r="E7" s="2994">
        <v>2</v>
      </c>
      <c r="F7" s="2994">
        <v>2</v>
      </c>
      <c r="G7" s="2994">
        <v>2</v>
      </c>
      <c r="H7" s="2994">
        <v>2</v>
      </c>
      <c r="I7" s="2995">
        <v>1.5</v>
      </c>
      <c r="J7" s="2995">
        <v>1.5</v>
      </c>
      <c r="K7" s="2995">
        <v>1.5</v>
      </c>
      <c r="L7" s="2995">
        <v>1.5</v>
      </c>
      <c r="M7" s="2996">
        <v>1.5</v>
      </c>
    </row>
    <row r="8" spans="1:13">
      <c r="A8" s="973" t="s">
        <v>2757</v>
      </c>
      <c r="B8" s="2997">
        <v>80</v>
      </c>
      <c r="C8" s="2997">
        <v>80</v>
      </c>
      <c r="D8" s="2997">
        <v>70</v>
      </c>
      <c r="E8" s="2997">
        <v>70</v>
      </c>
      <c r="F8" s="2997">
        <v>70</v>
      </c>
      <c r="G8" s="2997">
        <v>70</v>
      </c>
      <c r="H8" s="2997">
        <v>70</v>
      </c>
      <c r="I8" s="2997">
        <v>60</v>
      </c>
      <c r="J8" s="2997">
        <v>60</v>
      </c>
      <c r="K8" s="2997">
        <v>60</v>
      </c>
      <c r="L8" s="2997">
        <v>60</v>
      </c>
      <c r="M8" s="2998">
        <v>60</v>
      </c>
    </row>
    <row r="9" spans="1:13">
      <c r="A9" s="956" t="s">
        <v>2758</v>
      </c>
      <c r="B9" s="2999">
        <v>70</v>
      </c>
      <c r="C9" s="2999">
        <v>70</v>
      </c>
      <c r="D9" s="2999">
        <v>60</v>
      </c>
      <c r="E9" s="2999">
        <v>60</v>
      </c>
      <c r="F9" s="2999">
        <v>60</v>
      </c>
      <c r="G9" s="2999">
        <v>60</v>
      </c>
      <c r="H9" s="2999">
        <v>60</v>
      </c>
      <c r="I9" s="2999">
        <v>50</v>
      </c>
      <c r="J9" s="2999">
        <v>50</v>
      </c>
      <c r="K9" s="2999">
        <v>50</v>
      </c>
      <c r="L9" s="2999">
        <v>50</v>
      </c>
      <c r="M9" s="3000">
        <v>50</v>
      </c>
    </row>
    <row r="10" spans="1:13">
      <c r="A10" s="956" t="s">
        <v>2759</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2760</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2761</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2762</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2763</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2764</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1" t="s">
        <v>2447</v>
      </c>
      <c r="B19" s="3003" t="s">
        <v>2448</v>
      </c>
      <c r="C19" s="3004" t="s">
        <v>2449</v>
      </c>
      <c r="D19" s="3005"/>
      <c r="E19" s="2999" t="s">
        <v>2450</v>
      </c>
      <c r="F19" s="979"/>
      <c r="G19" s="979"/>
    </row>
    <row r="20" spans="1:13">
      <c r="A20" s="3788" t="s">
        <v>2441</v>
      </c>
      <c r="B20" s="3791" t="s">
        <v>2451</v>
      </c>
      <c r="C20" s="3006" t="s">
        <v>2452</v>
      </c>
      <c r="D20" s="3007"/>
      <c r="E20" s="3008">
        <v>1</v>
      </c>
      <c r="F20" s="3009" t="s">
        <v>2453</v>
      </c>
      <c r="G20" s="981"/>
    </row>
    <row r="21" spans="1:13">
      <c r="A21" s="3789"/>
      <c r="B21" s="3787"/>
      <c r="C21" s="3010" t="s">
        <v>2454</v>
      </c>
      <c r="D21" s="3011"/>
      <c r="E21" s="3012">
        <v>1</v>
      </c>
      <c r="F21" s="3009" t="s">
        <v>2455</v>
      </c>
      <c r="G21" s="981"/>
    </row>
    <row r="22" spans="1:13">
      <c r="A22" s="3789"/>
      <c r="B22" s="3787"/>
      <c r="C22" s="3010" t="s">
        <v>2456</v>
      </c>
      <c r="D22" s="3011"/>
      <c r="E22" s="3012">
        <v>0.9</v>
      </c>
      <c r="F22" s="3009" t="s">
        <v>2457</v>
      </c>
      <c r="G22" s="981"/>
    </row>
    <row r="23" spans="1:13">
      <c r="A23" s="3789"/>
      <c r="B23" s="3787"/>
      <c r="C23" s="3010" t="s">
        <v>2458</v>
      </c>
      <c r="D23" s="3011"/>
      <c r="E23" s="3012">
        <v>0.9</v>
      </c>
      <c r="F23" s="3009" t="s">
        <v>2459</v>
      </c>
      <c r="G23" s="981"/>
    </row>
    <row r="24" spans="1:13">
      <c r="A24" s="3789"/>
      <c r="B24" s="3787"/>
      <c r="C24" s="3010" t="s">
        <v>2460</v>
      </c>
      <c r="D24" s="3011"/>
      <c r="E24" s="3012">
        <v>0.8</v>
      </c>
      <c r="F24" s="3009" t="s">
        <v>2461</v>
      </c>
      <c r="G24" s="981"/>
    </row>
    <row r="25" spans="1:13" ht="14.25" thickBot="1">
      <c r="A25" s="3790"/>
      <c r="B25" s="3792"/>
      <c r="C25" s="3013" t="s">
        <v>2462</v>
      </c>
      <c r="D25" s="3014"/>
      <c r="E25" s="3015">
        <v>0.8</v>
      </c>
      <c r="F25" s="3009" t="s">
        <v>2463</v>
      </c>
      <c r="G25" s="981"/>
    </row>
    <row r="26" spans="1:13" ht="14.25" thickBot="1">
      <c r="A26" s="3016" t="s">
        <v>2442</v>
      </c>
      <c r="B26" s="3017" t="s">
        <v>2451</v>
      </c>
      <c r="C26" s="3018" t="s">
        <v>2464</v>
      </c>
      <c r="D26" s="3019"/>
      <c r="E26" s="3020">
        <v>1</v>
      </c>
      <c r="F26" s="3009" t="s">
        <v>2465</v>
      </c>
      <c r="G26" s="981"/>
    </row>
    <row r="27" spans="1:13">
      <c r="A27" s="3793" t="s">
        <v>2446</v>
      </c>
      <c r="B27" s="3791" t="s">
        <v>2446</v>
      </c>
      <c r="C27" s="3006" t="s">
        <v>2466</v>
      </c>
      <c r="D27" s="3007"/>
      <c r="E27" s="3008">
        <v>1</v>
      </c>
      <c r="F27" s="3009" t="s">
        <v>2467</v>
      </c>
      <c r="G27" s="981"/>
    </row>
    <row r="28" spans="1:13">
      <c r="A28" s="3794"/>
      <c r="B28" s="3787"/>
      <c r="C28" s="3010" t="s">
        <v>2468</v>
      </c>
      <c r="D28" s="3011"/>
      <c r="E28" s="3012">
        <v>1</v>
      </c>
      <c r="F28" s="3009" t="s">
        <v>2469</v>
      </c>
      <c r="G28" s="981"/>
    </row>
    <row r="29" spans="1:13">
      <c r="A29" s="3794"/>
      <c r="B29" s="3787"/>
      <c r="C29" s="3010" t="s">
        <v>2470</v>
      </c>
      <c r="D29" s="3011"/>
      <c r="E29" s="3012">
        <v>0.8</v>
      </c>
      <c r="F29" s="3009" t="s">
        <v>2471</v>
      </c>
      <c r="G29" s="981"/>
    </row>
    <row r="30" spans="1:13">
      <c r="A30" s="3794"/>
      <c r="B30" s="3787"/>
      <c r="C30" s="3010" t="s">
        <v>2472</v>
      </c>
      <c r="D30" s="3011"/>
      <c r="E30" s="3012">
        <v>0.8</v>
      </c>
      <c r="F30" s="3009" t="s">
        <v>2473</v>
      </c>
      <c r="G30" s="981"/>
    </row>
    <row r="31" spans="1:13">
      <c r="A31" s="3794"/>
      <c r="B31" s="3787"/>
      <c r="C31" s="3010" t="s">
        <v>2474</v>
      </c>
      <c r="D31" s="3011"/>
      <c r="E31" s="3012">
        <v>0.8</v>
      </c>
      <c r="F31" s="3009" t="s">
        <v>2475</v>
      </c>
      <c r="G31" s="981"/>
    </row>
    <row r="32" spans="1:13">
      <c r="A32" s="3794"/>
      <c r="B32" s="3787"/>
      <c r="C32" s="3010" t="s">
        <v>2476</v>
      </c>
      <c r="D32" s="3011"/>
      <c r="E32" s="3012">
        <v>0.7</v>
      </c>
      <c r="F32" s="3009" t="s">
        <v>2477</v>
      </c>
      <c r="G32" s="981"/>
    </row>
    <row r="33" spans="1:7">
      <c r="A33" s="3794"/>
      <c r="B33" s="3787"/>
      <c r="C33" s="3010" t="s">
        <v>2478</v>
      </c>
      <c r="D33" s="3011"/>
      <c r="E33" s="3012">
        <v>0.8</v>
      </c>
      <c r="F33" s="3009" t="s">
        <v>2479</v>
      </c>
      <c r="G33" s="981"/>
    </row>
    <row r="34" spans="1:7">
      <c r="A34" s="3794"/>
      <c r="B34" s="3787"/>
      <c r="C34" s="3010" t="s">
        <v>2480</v>
      </c>
      <c r="D34" s="3011"/>
      <c r="E34" s="3012">
        <v>0.6</v>
      </c>
      <c r="F34" s="3009" t="s">
        <v>2481</v>
      </c>
      <c r="G34" s="981"/>
    </row>
    <row r="35" spans="1:7">
      <c r="A35" s="3794"/>
      <c r="B35" s="3787"/>
      <c r="C35" s="3010" t="s">
        <v>2482</v>
      </c>
      <c r="D35" s="3011"/>
      <c r="E35" s="3012">
        <v>0.2</v>
      </c>
      <c r="F35" s="3009" t="s">
        <v>2483</v>
      </c>
      <c r="G35" s="981"/>
    </row>
    <row r="36" spans="1:7">
      <c r="A36" s="3794"/>
      <c r="B36" s="3787"/>
      <c r="C36" s="3010" t="s">
        <v>2484</v>
      </c>
      <c r="D36" s="3011"/>
      <c r="E36" s="3012">
        <v>0.2</v>
      </c>
      <c r="F36" s="3009" t="s">
        <v>2485</v>
      </c>
      <c r="G36" s="981"/>
    </row>
    <row r="37" spans="1:7">
      <c r="A37" s="3794"/>
      <c r="B37" s="3785" t="s">
        <v>2486</v>
      </c>
      <c r="C37" s="3010" t="s">
        <v>2487</v>
      </c>
      <c r="D37" s="3011"/>
      <c r="E37" s="3012">
        <v>0.6</v>
      </c>
      <c r="F37" s="3009" t="s">
        <v>2488</v>
      </c>
      <c r="G37" s="981"/>
    </row>
    <row r="38" spans="1:7">
      <c r="A38" s="3794"/>
      <c r="B38" s="3787"/>
      <c r="C38" s="3010" t="s">
        <v>2489</v>
      </c>
      <c r="D38" s="3011"/>
      <c r="E38" s="3012">
        <v>0.6</v>
      </c>
      <c r="F38" s="3009" t="s">
        <v>2490</v>
      </c>
      <c r="G38" s="981"/>
    </row>
    <row r="39" spans="1:7" ht="14.25" thickBot="1">
      <c r="A39" s="3795"/>
      <c r="B39" s="3792"/>
      <c r="C39" s="3013" t="s">
        <v>2491</v>
      </c>
      <c r="D39" s="3014"/>
      <c r="E39" s="3015">
        <v>0.6</v>
      </c>
      <c r="F39" s="3009" t="s">
        <v>2492</v>
      </c>
      <c r="G39" s="981"/>
    </row>
    <row r="40" spans="1:7" ht="14.25" thickBot="1">
      <c r="A40" s="3016" t="s">
        <v>2443</v>
      </c>
      <c r="B40" s="3017" t="s">
        <v>2443</v>
      </c>
      <c r="C40" s="3018" t="s">
        <v>2493</v>
      </c>
      <c r="D40" s="3019"/>
      <c r="E40" s="3020">
        <v>1</v>
      </c>
      <c r="F40" s="3009" t="s">
        <v>2494</v>
      </c>
      <c r="G40" s="981"/>
    </row>
    <row r="41" spans="1:7">
      <c r="A41" s="3788" t="s">
        <v>2444</v>
      </c>
      <c r="B41" s="3791" t="s">
        <v>2495</v>
      </c>
      <c r="C41" s="3006" t="s">
        <v>2496</v>
      </c>
      <c r="D41" s="3007"/>
      <c r="E41" s="3008">
        <v>1</v>
      </c>
      <c r="F41" s="3009" t="s">
        <v>2497</v>
      </c>
      <c r="G41" s="981"/>
    </row>
    <row r="42" spans="1:7">
      <c r="A42" s="3789"/>
      <c r="B42" s="3787"/>
      <c r="C42" s="3010" t="s">
        <v>2498</v>
      </c>
      <c r="D42" s="3011"/>
      <c r="E42" s="3012">
        <v>1</v>
      </c>
      <c r="F42" s="3009" t="s">
        <v>2499</v>
      </c>
      <c r="G42" s="981"/>
    </row>
    <row r="43" spans="1:7">
      <c r="A43" s="3789"/>
      <c r="B43" s="3786"/>
      <c r="C43" s="3010" t="s">
        <v>2500</v>
      </c>
      <c r="D43" s="3011"/>
      <c r="E43" s="3012">
        <v>1.5</v>
      </c>
      <c r="F43" s="3009" t="s">
        <v>2501</v>
      </c>
      <c r="G43" s="981"/>
    </row>
    <row r="44" spans="1:7">
      <c r="A44" s="3789"/>
      <c r="B44" s="3021" t="s">
        <v>2446</v>
      </c>
      <c r="C44" s="3010" t="s">
        <v>2445</v>
      </c>
      <c r="D44" s="3011"/>
      <c r="E44" s="3012">
        <v>2</v>
      </c>
      <c r="F44" s="3009" t="s">
        <v>2502</v>
      </c>
      <c r="G44" s="981"/>
    </row>
    <row r="45" spans="1:7">
      <c r="A45" s="3789"/>
      <c r="B45" s="3785" t="s">
        <v>2503</v>
      </c>
      <c r="C45" s="3010" t="s">
        <v>2504</v>
      </c>
      <c r="D45" s="3011"/>
      <c r="E45" s="3012">
        <v>1</v>
      </c>
      <c r="F45" s="3009" t="s">
        <v>2505</v>
      </c>
      <c r="G45" s="981"/>
    </row>
    <row r="46" spans="1:7">
      <c r="A46" s="3789"/>
      <c r="B46" s="3787"/>
      <c r="C46" s="3010" t="s">
        <v>2506</v>
      </c>
      <c r="D46" s="3011"/>
      <c r="E46" s="3012">
        <v>1</v>
      </c>
      <c r="F46" s="3009" t="s">
        <v>2507</v>
      </c>
      <c r="G46" s="981"/>
    </row>
    <row r="47" spans="1:7">
      <c r="A47" s="3789"/>
      <c r="B47" s="3787"/>
      <c r="C47" s="3010" t="s">
        <v>2508</v>
      </c>
      <c r="D47" s="3011"/>
      <c r="E47" s="3012">
        <v>1</v>
      </c>
      <c r="F47" s="3009" t="s">
        <v>2509</v>
      </c>
      <c r="G47" s="981"/>
    </row>
    <row r="48" spans="1:7">
      <c r="A48" s="3789"/>
      <c r="B48" s="3787"/>
      <c r="C48" s="3010" t="s">
        <v>2510</v>
      </c>
      <c r="D48" s="3011"/>
      <c r="E48" s="3012">
        <v>1</v>
      </c>
      <c r="F48" s="3009" t="s">
        <v>2511</v>
      </c>
      <c r="G48" s="981"/>
    </row>
    <row r="49" spans="1:9">
      <c r="A49" s="3789"/>
      <c r="B49" s="3787"/>
      <c r="C49" s="3010" t="s">
        <v>2512</v>
      </c>
      <c r="D49" s="3011"/>
      <c r="E49" s="3012">
        <v>1</v>
      </c>
      <c r="F49" s="3009" t="s">
        <v>2513</v>
      </c>
      <c r="G49" s="981"/>
    </row>
    <row r="50" spans="1:9">
      <c r="A50" s="3789"/>
      <c r="B50" s="3787"/>
      <c r="C50" s="3010" t="s">
        <v>2514</v>
      </c>
      <c r="D50" s="3011"/>
      <c r="E50" s="3012">
        <v>1</v>
      </c>
      <c r="F50" s="3009" t="s">
        <v>2515</v>
      </c>
      <c r="G50" s="981"/>
    </row>
    <row r="51" spans="1:9" ht="14.25" thickBot="1">
      <c r="A51" s="3790"/>
      <c r="B51" s="3792"/>
      <c r="C51" s="3013" t="s">
        <v>2516</v>
      </c>
      <c r="D51" s="3014"/>
      <c r="E51" s="3015">
        <v>1</v>
      </c>
      <c r="F51" s="3009"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1">
        <v>1</v>
      </c>
      <c r="B73" s="3785" t="s">
        <v>2519</v>
      </c>
      <c r="C73" s="2999" t="s">
        <v>2520</v>
      </c>
      <c r="D73" s="2999" t="s">
        <v>2521</v>
      </c>
      <c r="E73" s="3022">
        <v>0.2</v>
      </c>
      <c r="F73" s="3021">
        <v>25</v>
      </c>
      <c r="H73" s="971">
        <f>SUMIF(C71:C139,基准地价!C8,E71:E139)</f>
        <v>0</v>
      </c>
    </row>
    <row r="74" spans="1:8" s="971" customFormat="1" ht="24">
      <c r="A74" s="3021">
        <v>2</v>
      </c>
      <c r="B74" s="3787"/>
      <c r="C74" s="2999" t="s">
        <v>2522</v>
      </c>
      <c r="D74" s="2999" t="s">
        <v>2523</v>
      </c>
      <c r="E74" s="3022">
        <v>0.2</v>
      </c>
      <c r="F74" s="3021">
        <v>25</v>
      </c>
    </row>
    <row r="75" spans="1:8" s="971" customFormat="1" ht="24">
      <c r="A75" s="3021">
        <v>3</v>
      </c>
      <c r="B75" s="3787"/>
      <c r="C75" s="2999" t="s">
        <v>2524</v>
      </c>
      <c r="D75" s="2999" t="s">
        <v>2525</v>
      </c>
      <c r="E75" s="3022">
        <v>0.2</v>
      </c>
      <c r="F75" s="3021">
        <v>25</v>
      </c>
    </row>
    <row r="76" spans="1:8" s="971" customFormat="1">
      <c r="A76" s="3021">
        <v>4</v>
      </c>
      <c r="B76" s="3787"/>
      <c r="C76" s="2999" t="s">
        <v>2526</v>
      </c>
      <c r="D76" s="2999" t="s">
        <v>2527</v>
      </c>
      <c r="E76" s="3022">
        <v>0.15</v>
      </c>
      <c r="F76" s="3021">
        <v>20</v>
      </c>
    </row>
    <row r="77" spans="1:8" s="971" customFormat="1" ht="24">
      <c r="A77" s="3021">
        <v>5</v>
      </c>
      <c r="B77" s="3787"/>
      <c r="C77" s="2999" t="s">
        <v>2528</v>
      </c>
      <c r="D77" s="2999" t="s">
        <v>2529</v>
      </c>
      <c r="E77" s="3022">
        <v>0.15</v>
      </c>
      <c r="F77" s="3021">
        <v>20</v>
      </c>
    </row>
    <row r="78" spans="1:8" s="971" customFormat="1" ht="24">
      <c r="A78" s="3021">
        <v>6</v>
      </c>
      <c r="B78" s="3787"/>
      <c r="C78" s="2999" t="s">
        <v>2530</v>
      </c>
      <c r="D78" s="2999" t="s">
        <v>2531</v>
      </c>
      <c r="E78" s="3022">
        <v>0.15</v>
      </c>
      <c r="F78" s="3021">
        <v>20</v>
      </c>
    </row>
    <row r="79" spans="1:8" s="971" customFormat="1" ht="24">
      <c r="A79" s="3021">
        <v>7</v>
      </c>
      <c r="B79" s="3787"/>
      <c r="C79" s="2999" t="s">
        <v>2532</v>
      </c>
      <c r="D79" s="2999" t="s">
        <v>2533</v>
      </c>
      <c r="E79" s="3022">
        <v>0.15</v>
      </c>
      <c r="F79" s="3021">
        <v>20</v>
      </c>
    </row>
    <row r="80" spans="1:8" s="971" customFormat="1" ht="24">
      <c r="A80" s="3021">
        <v>8</v>
      </c>
      <c r="B80" s="3787"/>
      <c r="C80" s="2999" t="s">
        <v>2534</v>
      </c>
      <c r="D80" s="2999" t="s">
        <v>2535</v>
      </c>
      <c r="E80" s="3022">
        <v>0.1</v>
      </c>
      <c r="F80" s="3021">
        <v>15</v>
      </c>
    </row>
    <row r="81" spans="1:6" s="971" customFormat="1" ht="24">
      <c r="A81" s="3021">
        <v>9</v>
      </c>
      <c r="B81" s="3787"/>
      <c r="C81" s="2999" t="s">
        <v>2536</v>
      </c>
      <c r="D81" s="2999" t="s">
        <v>2537</v>
      </c>
      <c r="E81" s="3022">
        <v>0.1</v>
      </c>
      <c r="F81" s="3021">
        <v>15</v>
      </c>
    </row>
    <row r="82" spans="1:6" s="971" customFormat="1" ht="24">
      <c r="A82" s="3021">
        <v>10</v>
      </c>
      <c r="B82" s="3787"/>
      <c r="C82" s="2999" t="s">
        <v>2538</v>
      </c>
      <c r="D82" s="2999" t="s">
        <v>2539</v>
      </c>
      <c r="E82" s="3022">
        <v>0.1</v>
      </c>
      <c r="F82" s="3021">
        <v>15</v>
      </c>
    </row>
    <row r="83" spans="1:6" s="971" customFormat="1" ht="24">
      <c r="A83" s="3021">
        <v>11</v>
      </c>
      <c r="B83" s="3787"/>
      <c r="C83" s="2999" t="s">
        <v>2540</v>
      </c>
      <c r="D83" s="2999" t="s">
        <v>2541</v>
      </c>
      <c r="E83" s="3022">
        <v>0.1</v>
      </c>
      <c r="F83" s="3021">
        <v>15</v>
      </c>
    </row>
    <row r="84" spans="1:6" s="971" customFormat="1" ht="24">
      <c r="A84" s="3021">
        <v>12</v>
      </c>
      <c r="B84" s="3787"/>
      <c r="C84" s="2999" t="s">
        <v>2542</v>
      </c>
      <c r="D84" s="2999" t="s">
        <v>2543</v>
      </c>
      <c r="E84" s="3022">
        <v>0.1</v>
      </c>
      <c r="F84" s="3021">
        <v>15</v>
      </c>
    </row>
    <row r="85" spans="1:6" s="971" customFormat="1">
      <c r="A85" s="3021">
        <v>13</v>
      </c>
      <c r="B85" s="3787"/>
      <c r="C85" s="2999" t="s">
        <v>2544</v>
      </c>
      <c r="D85" s="2999" t="s">
        <v>2545</v>
      </c>
      <c r="E85" s="3022">
        <v>0.1</v>
      </c>
      <c r="F85" s="3021">
        <v>15</v>
      </c>
    </row>
    <row r="86" spans="1:6" s="971" customFormat="1">
      <c r="A86" s="3021">
        <v>14</v>
      </c>
      <c r="B86" s="3787"/>
      <c r="C86" s="2999" t="s">
        <v>2546</v>
      </c>
      <c r="D86" s="2999" t="s">
        <v>2547</v>
      </c>
      <c r="E86" s="3022">
        <v>0.1</v>
      </c>
      <c r="F86" s="3021">
        <v>15</v>
      </c>
    </row>
    <row r="87" spans="1:6" s="971" customFormat="1">
      <c r="A87" s="3021">
        <v>15</v>
      </c>
      <c r="B87" s="3787"/>
      <c r="C87" s="2999" t="s">
        <v>2548</v>
      </c>
      <c r="D87" s="2999" t="s">
        <v>2549</v>
      </c>
      <c r="E87" s="3022">
        <v>0.1</v>
      </c>
      <c r="F87" s="3021">
        <v>15</v>
      </c>
    </row>
    <row r="88" spans="1:6" s="971" customFormat="1" ht="24">
      <c r="A88" s="3021">
        <v>16</v>
      </c>
      <c r="B88" s="3787"/>
      <c r="C88" s="2999" t="s">
        <v>2550</v>
      </c>
      <c r="D88" s="2999" t="s">
        <v>2551</v>
      </c>
      <c r="E88" s="3022">
        <v>0.1</v>
      </c>
      <c r="F88" s="3021">
        <v>15</v>
      </c>
    </row>
    <row r="89" spans="1:6" s="971" customFormat="1" ht="24">
      <c r="A89" s="3021">
        <v>17</v>
      </c>
      <c r="B89" s="3786"/>
      <c r="C89" s="2999" t="s">
        <v>2552</v>
      </c>
      <c r="D89" s="2999" t="s">
        <v>2553</v>
      </c>
      <c r="E89" s="3022">
        <v>0.1</v>
      </c>
      <c r="F89" s="3021">
        <v>15</v>
      </c>
    </row>
    <row r="90" spans="1:6" s="971" customFormat="1">
      <c r="A90" s="3021">
        <v>18</v>
      </c>
      <c r="B90" s="3785" t="s">
        <v>2554</v>
      </c>
      <c r="C90" s="2999" t="s">
        <v>2555</v>
      </c>
      <c r="D90" s="2999" t="s">
        <v>2556</v>
      </c>
      <c r="E90" s="3022">
        <v>0.2</v>
      </c>
      <c r="F90" s="3021">
        <v>25</v>
      </c>
    </row>
    <row r="91" spans="1:6" s="971" customFormat="1" ht="24">
      <c r="A91" s="3021">
        <v>19</v>
      </c>
      <c r="B91" s="3787"/>
      <c r="C91" s="2999" t="s">
        <v>2557</v>
      </c>
      <c r="D91" s="2999" t="s">
        <v>2558</v>
      </c>
      <c r="E91" s="3022">
        <v>0.2</v>
      </c>
      <c r="F91" s="3021">
        <v>25</v>
      </c>
    </row>
    <row r="92" spans="1:6" s="971" customFormat="1">
      <c r="A92" s="3021">
        <v>20</v>
      </c>
      <c r="B92" s="3787"/>
      <c r="C92" s="2999" t="s">
        <v>2559</v>
      </c>
      <c r="D92" s="2999" t="s">
        <v>2560</v>
      </c>
      <c r="E92" s="3022">
        <v>0.15</v>
      </c>
      <c r="F92" s="3021">
        <v>20</v>
      </c>
    </row>
    <row r="93" spans="1:6" s="971" customFormat="1" ht="24">
      <c r="A93" s="3021">
        <v>21</v>
      </c>
      <c r="B93" s="3787"/>
      <c r="C93" s="2999" t="s">
        <v>2561</v>
      </c>
      <c r="D93" s="2999" t="s">
        <v>2562</v>
      </c>
      <c r="E93" s="3022">
        <v>0.15</v>
      </c>
      <c r="F93" s="3021">
        <v>20</v>
      </c>
    </row>
    <row r="94" spans="1:6" s="971" customFormat="1" ht="24">
      <c r="A94" s="3021">
        <v>22</v>
      </c>
      <c r="B94" s="3787"/>
      <c r="C94" s="2999" t="s">
        <v>2563</v>
      </c>
      <c r="D94" s="2999" t="s">
        <v>2564</v>
      </c>
      <c r="E94" s="3022">
        <v>0.15</v>
      </c>
      <c r="F94" s="3021">
        <v>20</v>
      </c>
    </row>
    <row r="95" spans="1:6" s="971" customFormat="1" ht="36">
      <c r="A95" s="3021">
        <v>23</v>
      </c>
      <c r="B95" s="3787"/>
      <c r="C95" s="2999" t="s">
        <v>2565</v>
      </c>
      <c r="D95" s="2999" t="s">
        <v>2566</v>
      </c>
      <c r="E95" s="3022">
        <v>0.15</v>
      </c>
      <c r="F95" s="3021">
        <v>20</v>
      </c>
    </row>
    <row r="96" spans="1:6" s="971" customFormat="1">
      <c r="A96" s="3021">
        <v>24</v>
      </c>
      <c r="B96" s="3787"/>
      <c r="C96" s="2999" t="s">
        <v>2567</v>
      </c>
      <c r="D96" s="2999" t="s">
        <v>2568</v>
      </c>
      <c r="E96" s="3022">
        <v>0.1</v>
      </c>
      <c r="F96" s="3021">
        <v>15</v>
      </c>
    </row>
    <row r="97" spans="1:6" s="971" customFormat="1" ht="24">
      <c r="A97" s="3021">
        <v>25</v>
      </c>
      <c r="B97" s="3787"/>
      <c r="C97" s="2999" t="s">
        <v>2569</v>
      </c>
      <c r="D97" s="2999" t="s">
        <v>2570</v>
      </c>
      <c r="E97" s="3022">
        <v>0.1</v>
      </c>
      <c r="F97" s="3021">
        <v>15</v>
      </c>
    </row>
    <row r="98" spans="1:6" s="971" customFormat="1" ht="24">
      <c r="A98" s="3021">
        <v>26</v>
      </c>
      <c r="B98" s="3787"/>
      <c r="C98" s="2999" t="s">
        <v>2571</v>
      </c>
      <c r="D98" s="2999" t="s">
        <v>2572</v>
      </c>
      <c r="E98" s="3022">
        <v>0.1</v>
      </c>
      <c r="F98" s="3021">
        <v>15</v>
      </c>
    </row>
    <row r="99" spans="1:6" s="971" customFormat="1" ht="24">
      <c r="A99" s="3021">
        <v>27</v>
      </c>
      <c r="B99" s="3787"/>
      <c r="C99" s="2999" t="s">
        <v>2573</v>
      </c>
      <c r="D99" s="2999" t="s">
        <v>2574</v>
      </c>
      <c r="E99" s="3022">
        <v>0.1</v>
      </c>
      <c r="F99" s="3021">
        <v>15</v>
      </c>
    </row>
    <row r="100" spans="1:6" s="971" customFormat="1" ht="24">
      <c r="A100" s="3021">
        <v>28</v>
      </c>
      <c r="B100" s="3787"/>
      <c r="C100" s="2999" t="s">
        <v>2575</v>
      </c>
      <c r="D100" s="2999" t="s">
        <v>2576</v>
      </c>
      <c r="E100" s="3022">
        <v>0.1</v>
      </c>
      <c r="F100" s="3021">
        <v>15</v>
      </c>
    </row>
    <row r="101" spans="1:6" s="971" customFormat="1" ht="24">
      <c r="A101" s="3021">
        <v>29</v>
      </c>
      <c r="B101" s="3787"/>
      <c r="C101" s="2999" t="s">
        <v>2577</v>
      </c>
      <c r="D101" s="2999" t="s">
        <v>2578</v>
      </c>
      <c r="E101" s="3022">
        <v>0.1</v>
      </c>
      <c r="F101" s="3021">
        <v>15</v>
      </c>
    </row>
    <row r="102" spans="1:6" s="971" customFormat="1" ht="24">
      <c r="A102" s="3021">
        <v>30</v>
      </c>
      <c r="B102" s="3787"/>
      <c r="C102" s="2999" t="s">
        <v>2579</v>
      </c>
      <c r="D102" s="2999" t="s">
        <v>2580</v>
      </c>
      <c r="E102" s="3022">
        <v>0.1</v>
      </c>
      <c r="F102" s="3021">
        <v>15</v>
      </c>
    </row>
    <row r="103" spans="1:6" s="971" customFormat="1" ht="24">
      <c r="A103" s="3021">
        <v>31</v>
      </c>
      <c r="B103" s="3787"/>
      <c r="C103" s="2999" t="s">
        <v>2581</v>
      </c>
      <c r="D103" s="2999" t="s">
        <v>2582</v>
      </c>
      <c r="E103" s="3022">
        <v>0.1</v>
      </c>
      <c r="F103" s="3021">
        <v>15</v>
      </c>
    </row>
    <row r="104" spans="1:6" s="971" customFormat="1" ht="24">
      <c r="A104" s="3021">
        <v>32</v>
      </c>
      <c r="B104" s="3787"/>
      <c r="C104" s="2999" t="s">
        <v>2583</v>
      </c>
      <c r="D104" s="2999" t="s">
        <v>2584</v>
      </c>
      <c r="E104" s="3022">
        <v>0.1</v>
      </c>
      <c r="F104" s="3021">
        <v>15</v>
      </c>
    </row>
    <row r="105" spans="1:6" s="971" customFormat="1" ht="24">
      <c r="A105" s="3021">
        <v>33</v>
      </c>
      <c r="B105" s="3787"/>
      <c r="C105" s="2999" t="s">
        <v>2585</v>
      </c>
      <c r="D105" s="2999" t="s">
        <v>2586</v>
      </c>
      <c r="E105" s="3022">
        <v>0.1</v>
      </c>
      <c r="F105" s="3021">
        <v>15</v>
      </c>
    </row>
    <row r="106" spans="1:6" s="971" customFormat="1" ht="24">
      <c r="A106" s="3021">
        <v>34</v>
      </c>
      <c r="B106" s="3786"/>
      <c r="C106" s="2999" t="s">
        <v>2587</v>
      </c>
      <c r="D106" s="2999" t="s">
        <v>2588</v>
      </c>
      <c r="E106" s="3022">
        <v>0.1</v>
      </c>
      <c r="F106" s="3021">
        <v>15</v>
      </c>
    </row>
    <row r="107" spans="1:6" s="971" customFormat="1" ht="24">
      <c r="A107" s="3021">
        <v>35</v>
      </c>
      <c r="B107" s="3785" t="s">
        <v>2589</v>
      </c>
      <c r="C107" s="3021" t="s">
        <v>2590</v>
      </c>
      <c r="D107" s="2999" t="s">
        <v>2591</v>
      </c>
      <c r="E107" s="3022">
        <v>0.15</v>
      </c>
      <c r="F107" s="3021">
        <v>20</v>
      </c>
    </row>
    <row r="108" spans="1:6" s="971" customFormat="1" ht="24">
      <c r="A108" s="3021">
        <v>36</v>
      </c>
      <c r="B108" s="3787"/>
      <c r="C108" s="3021" t="s">
        <v>2592</v>
      </c>
      <c r="D108" s="2999" t="s">
        <v>2593</v>
      </c>
      <c r="E108" s="3022">
        <v>0.15</v>
      </c>
      <c r="F108" s="3021">
        <v>20</v>
      </c>
    </row>
    <row r="109" spans="1:6" s="971" customFormat="1" ht="24">
      <c r="A109" s="3021">
        <v>37</v>
      </c>
      <c r="B109" s="3787"/>
      <c r="C109" s="3021" t="s">
        <v>2594</v>
      </c>
      <c r="D109" s="2999" t="s">
        <v>2595</v>
      </c>
      <c r="E109" s="3022">
        <v>0.15</v>
      </c>
      <c r="F109" s="3021">
        <v>20</v>
      </c>
    </row>
    <row r="110" spans="1:6" s="971" customFormat="1">
      <c r="A110" s="3021">
        <v>38</v>
      </c>
      <c r="B110" s="3787"/>
      <c r="C110" s="3021" t="s">
        <v>2596</v>
      </c>
      <c r="D110" s="2999" t="s">
        <v>2597</v>
      </c>
      <c r="E110" s="3022">
        <v>0.1</v>
      </c>
      <c r="F110" s="3021">
        <v>15</v>
      </c>
    </row>
    <row r="111" spans="1:6" s="971" customFormat="1" ht="24">
      <c r="A111" s="3021">
        <v>39</v>
      </c>
      <c r="B111" s="3787"/>
      <c r="C111" s="3021" t="s">
        <v>2598</v>
      </c>
      <c r="D111" s="2999" t="s">
        <v>2599</v>
      </c>
      <c r="E111" s="3022">
        <v>0.1</v>
      </c>
      <c r="F111" s="3021">
        <v>15</v>
      </c>
    </row>
    <row r="112" spans="1:6" s="971" customFormat="1" ht="24">
      <c r="A112" s="3021">
        <v>40</v>
      </c>
      <c r="B112" s="3786"/>
      <c r="C112" s="3021" t="s">
        <v>2600</v>
      </c>
      <c r="D112" s="2999" t="s">
        <v>2601</v>
      </c>
      <c r="E112" s="3022">
        <v>0.1</v>
      </c>
      <c r="F112" s="3021">
        <v>15</v>
      </c>
    </row>
    <row r="113" spans="1:6" s="971" customFormat="1" ht="24">
      <c r="A113" s="3021">
        <v>41</v>
      </c>
      <c r="B113" s="3784" t="s">
        <v>2602</v>
      </c>
      <c r="C113" s="3021" t="s">
        <v>2603</v>
      </c>
      <c r="D113" s="2999" t="s">
        <v>2604</v>
      </c>
      <c r="E113" s="3022">
        <v>0.1</v>
      </c>
      <c r="F113" s="3021">
        <v>15</v>
      </c>
    </row>
    <row r="114" spans="1:6" s="971" customFormat="1">
      <c r="A114" s="3021">
        <v>42</v>
      </c>
      <c r="B114" s="3784"/>
      <c r="C114" s="3021" t="s">
        <v>2605</v>
      </c>
      <c r="D114" s="2999" t="s">
        <v>2606</v>
      </c>
      <c r="E114" s="3022">
        <v>0.1</v>
      </c>
      <c r="F114" s="3021">
        <v>15</v>
      </c>
    </row>
    <row r="115" spans="1:6" s="971" customFormat="1" ht="24">
      <c r="A115" s="3021">
        <v>43</v>
      </c>
      <c r="B115" s="3784"/>
      <c r="C115" s="3021" t="s">
        <v>2607</v>
      </c>
      <c r="D115" s="2999" t="s">
        <v>2608</v>
      </c>
      <c r="E115" s="3022">
        <v>0.1</v>
      </c>
      <c r="F115" s="3021">
        <v>15</v>
      </c>
    </row>
    <row r="116" spans="1:6" s="971" customFormat="1" ht="24">
      <c r="A116" s="3021">
        <v>44</v>
      </c>
      <c r="B116" s="3785" t="s">
        <v>2609</v>
      </c>
      <c r="C116" s="3021" t="s">
        <v>2610</v>
      </c>
      <c r="D116" s="2999" t="s">
        <v>2611</v>
      </c>
      <c r="E116" s="3022">
        <v>0.1</v>
      </c>
      <c r="F116" s="3021">
        <v>15</v>
      </c>
    </row>
    <row r="117" spans="1:6" s="971" customFormat="1" ht="24">
      <c r="A117" s="3021">
        <v>45</v>
      </c>
      <c r="B117" s="3786"/>
      <c r="C117" s="2999" t="s">
        <v>2612</v>
      </c>
      <c r="D117" s="2999" t="s">
        <v>2613</v>
      </c>
      <c r="E117" s="3022">
        <v>0.1</v>
      </c>
      <c r="F117" s="3021">
        <v>15</v>
      </c>
    </row>
    <row r="118" spans="1:6" s="971" customFormat="1" ht="24">
      <c r="A118" s="3021">
        <v>46</v>
      </c>
      <c r="B118" s="3785" t="s">
        <v>2614</v>
      </c>
      <c r="C118" s="3021" t="s">
        <v>2615</v>
      </c>
      <c r="D118" s="2999" t="s">
        <v>2616</v>
      </c>
      <c r="E118" s="3022">
        <v>0.1</v>
      </c>
      <c r="F118" s="3021">
        <v>15</v>
      </c>
    </row>
    <row r="119" spans="1:6" s="971" customFormat="1" ht="24">
      <c r="A119" s="3021">
        <v>47</v>
      </c>
      <c r="B119" s="3786"/>
      <c r="C119" s="3021" t="s">
        <v>2617</v>
      </c>
      <c r="D119" s="2999" t="s">
        <v>2618</v>
      </c>
      <c r="E119" s="3022">
        <v>0.1</v>
      </c>
      <c r="F119" s="3021">
        <v>15</v>
      </c>
    </row>
    <row r="120" spans="1:6" s="971" customFormat="1" ht="24">
      <c r="A120" s="3021">
        <v>48</v>
      </c>
      <c r="B120" s="3785" t="s">
        <v>2619</v>
      </c>
      <c r="C120" s="3021" t="s">
        <v>2620</v>
      </c>
      <c r="D120" s="2999" t="s">
        <v>2621</v>
      </c>
      <c r="E120" s="3022">
        <v>0.1</v>
      </c>
      <c r="F120" s="3021">
        <v>15</v>
      </c>
    </row>
    <row r="121" spans="1:6" s="971" customFormat="1">
      <c r="A121" s="3021">
        <v>49</v>
      </c>
      <c r="B121" s="3786"/>
      <c r="C121" s="3021" t="s">
        <v>2622</v>
      </c>
      <c r="D121" s="2999" t="s">
        <v>2623</v>
      </c>
      <c r="E121" s="3022">
        <v>0.1</v>
      </c>
      <c r="F121" s="3021">
        <v>15</v>
      </c>
    </row>
    <row r="122" spans="1:6" s="971" customFormat="1" ht="24">
      <c r="A122" s="3021">
        <v>50</v>
      </c>
      <c r="B122" s="3784" t="s">
        <v>2624</v>
      </c>
      <c r="C122" s="3021" t="s">
        <v>2625</v>
      </c>
      <c r="D122" s="2999" t="s">
        <v>2626</v>
      </c>
      <c r="E122" s="3022">
        <v>0.1</v>
      </c>
      <c r="F122" s="3021">
        <v>15</v>
      </c>
    </row>
    <row r="123" spans="1:6" s="971" customFormat="1" ht="24">
      <c r="A123" s="3021">
        <v>51</v>
      </c>
      <c r="B123" s="3784"/>
      <c r="C123" s="3021" t="s">
        <v>2627</v>
      </c>
      <c r="D123" s="2999" t="s">
        <v>2628</v>
      </c>
      <c r="E123" s="3022">
        <v>0.1</v>
      </c>
      <c r="F123" s="3021">
        <v>15</v>
      </c>
    </row>
    <row r="124" spans="1:6" s="971" customFormat="1" ht="24">
      <c r="A124" s="3021">
        <v>52</v>
      </c>
      <c r="B124" s="3784" t="s">
        <v>2629</v>
      </c>
      <c r="C124" s="3021" t="s">
        <v>2630</v>
      </c>
      <c r="D124" s="2999" t="s">
        <v>2631</v>
      </c>
      <c r="E124" s="3022">
        <v>0.1</v>
      </c>
      <c r="F124" s="3021">
        <v>15</v>
      </c>
    </row>
    <row r="125" spans="1:6" s="971" customFormat="1" ht="24">
      <c r="A125" s="3021">
        <v>53</v>
      </c>
      <c r="B125" s="3784"/>
      <c r="C125" s="3021" t="s">
        <v>2632</v>
      </c>
      <c r="D125" s="2999" t="s">
        <v>2633</v>
      </c>
      <c r="E125" s="3022">
        <v>0.1</v>
      </c>
      <c r="F125" s="3021">
        <v>15</v>
      </c>
    </row>
    <row r="126" spans="1:6" ht="24">
      <c r="A126" s="3021">
        <v>54</v>
      </c>
      <c r="B126" s="3021" t="s">
        <v>2634</v>
      </c>
      <c r="C126" s="3021" t="s">
        <v>2635</v>
      </c>
      <c r="D126" s="2999" t="s">
        <v>2636</v>
      </c>
      <c r="E126" s="3022">
        <v>0.1</v>
      </c>
      <c r="F126" s="3021">
        <v>15</v>
      </c>
    </row>
    <row r="127" spans="1:6">
      <c r="A127" s="3021">
        <v>55</v>
      </c>
      <c r="B127" s="3784" t="s">
        <v>2637</v>
      </c>
      <c r="C127" s="3021" t="s">
        <v>2638</v>
      </c>
      <c r="D127" s="2999" t="s">
        <v>2639</v>
      </c>
      <c r="E127" s="3022">
        <v>0.1</v>
      </c>
      <c r="F127" s="3021">
        <v>15</v>
      </c>
    </row>
    <row r="128" spans="1:6">
      <c r="A128" s="3021">
        <v>56</v>
      </c>
      <c r="B128" s="3784"/>
      <c r="C128" s="3021" t="s">
        <v>2640</v>
      </c>
      <c r="D128" s="2999" t="s">
        <v>2641</v>
      </c>
      <c r="E128" s="3022">
        <v>0.1</v>
      </c>
      <c r="F128" s="3021">
        <v>15</v>
      </c>
    </row>
    <row r="129" spans="1:14" ht="24">
      <c r="A129" s="3021">
        <v>57</v>
      </c>
      <c r="B129" s="3784"/>
      <c r="C129" s="3021" t="s">
        <v>2642</v>
      </c>
      <c r="D129" s="2999" t="s">
        <v>2643</v>
      </c>
      <c r="E129" s="3022">
        <v>0.1</v>
      </c>
      <c r="F129" s="3021">
        <v>15</v>
      </c>
    </row>
    <row r="130" spans="1:14" ht="24">
      <c r="A130" s="3021">
        <v>58</v>
      </c>
      <c r="B130" s="3784" t="s">
        <v>2644</v>
      </c>
      <c r="C130" s="3021" t="s">
        <v>2645</v>
      </c>
      <c r="D130" s="2999" t="s">
        <v>2646</v>
      </c>
      <c r="E130" s="3022">
        <v>0.1</v>
      </c>
      <c r="F130" s="3021">
        <v>15</v>
      </c>
    </row>
    <row r="131" spans="1:14" ht="24">
      <c r="A131" s="3021">
        <v>59</v>
      </c>
      <c r="B131" s="3784"/>
      <c r="C131" s="3021" t="s">
        <v>2647</v>
      </c>
      <c r="D131" s="2999" t="s">
        <v>2648</v>
      </c>
      <c r="E131" s="3022">
        <v>0.1</v>
      </c>
      <c r="F131" s="3021">
        <v>15</v>
      </c>
    </row>
    <row r="132" spans="1:14" ht="24">
      <c r="A132" s="3021">
        <v>60</v>
      </c>
      <c r="B132" s="3785" t="s">
        <v>2649</v>
      </c>
      <c r="C132" s="3021" t="s">
        <v>2650</v>
      </c>
      <c r="D132" s="2999" t="s">
        <v>2651</v>
      </c>
      <c r="E132" s="3022">
        <v>0.1</v>
      </c>
      <c r="F132" s="3021">
        <v>15</v>
      </c>
    </row>
    <row r="133" spans="1:14" ht="24">
      <c r="A133" s="3021">
        <v>61</v>
      </c>
      <c r="B133" s="3786"/>
      <c r="C133" s="3021" t="s">
        <v>2652</v>
      </c>
      <c r="D133" s="2999" t="s">
        <v>2653</v>
      </c>
      <c r="E133" s="3022">
        <v>0.1</v>
      </c>
      <c r="F133" s="3021">
        <v>15</v>
      </c>
    </row>
    <row r="134" spans="1:14" ht="24">
      <c r="A134" s="3021">
        <v>62</v>
      </c>
      <c r="B134" s="3021" t="s">
        <v>2654</v>
      </c>
      <c r="C134" s="3021" t="s">
        <v>2655</v>
      </c>
      <c r="D134" s="2999" t="s">
        <v>2656</v>
      </c>
      <c r="E134" s="3022">
        <v>0.1</v>
      </c>
      <c r="F134" s="3021">
        <v>15</v>
      </c>
    </row>
    <row r="135" spans="1:14" ht="24">
      <c r="A135" s="3021">
        <v>63</v>
      </c>
      <c r="B135" s="3784" t="s">
        <v>2657</v>
      </c>
      <c r="C135" s="3021" t="s">
        <v>2658</v>
      </c>
      <c r="D135" s="2999" t="s">
        <v>2659</v>
      </c>
      <c r="E135" s="3022">
        <v>0.1</v>
      </c>
      <c r="F135" s="3021">
        <v>15</v>
      </c>
    </row>
    <row r="136" spans="1:14">
      <c r="A136" s="3021">
        <v>64</v>
      </c>
      <c r="B136" s="3784"/>
      <c r="C136" s="3021" t="s">
        <v>2660</v>
      </c>
      <c r="D136" s="2999" t="s">
        <v>2661</v>
      </c>
      <c r="E136" s="3022">
        <v>0.1</v>
      </c>
      <c r="F136" s="3021">
        <v>15</v>
      </c>
    </row>
    <row r="137" spans="1:14" ht="24">
      <c r="A137" s="3021">
        <v>65</v>
      </c>
      <c r="B137" s="3021" t="s">
        <v>2662</v>
      </c>
      <c r="C137" s="3021" t="s">
        <v>2663</v>
      </c>
      <c r="D137" s="2999" t="s">
        <v>2664</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6" t="s">
        <v>2803</v>
      </c>
      <c r="B1" s="3796"/>
      <c r="C1" s="3796"/>
      <c r="D1" s="3796"/>
      <c r="E1" s="3796"/>
      <c r="F1" s="3796"/>
      <c r="G1" s="3797"/>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2804</v>
      </c>
      <c r="B2" s="3149"/>
      <c r="C2" s="3149"/>
      <c r="D2" s="3149"/>
      <c r="E2" s="3149"/>
      <c r="F2" s="3149"/>
      <c r="G2" s="3144" t="s">
        <v>2805</v>
      </c>
      <c r="J2" s="3173" t="s">
        <v>2811</v>
      </c>
      <c r="K2" s="3153" t="s">
        <v>2813</v>
      </c>
      <c r="L2" s="3153" t="s">
        <v>2815</v>
      </c>
      <c r="M2" s="3153" t="s">
        <v>2821</v>
      </c>
      <c r="N2" s="3153" t="s">
        <v>2831</v>
      </c>
      <c r="O2" s="3153" t="s">
        <v>2846</v>
      </c>
      <c r="P2" s="3153" t="s">
        <v>2883</v>
      </c>
      <c r="Q2" s="3153" t="s">
        <v>2914</v>
      </c>
      <c r="R2" s="3153" t="s">
        <v>2942</v>
      </c>
      <c r="S2" s="3153" t="s">
        <v>2977</v>
      </c>
      <c r="T2" s="3153" t="s">
        <v>2997</v>
      </c>
      <c r="U2" s="3153" t="s">
        <v>3009</v>
      </c>
    </row>
    <row r="3" spans="1:21" s="959" customFormat="1" ht="19.5" customHeight="1">
      <c r="A3" s="3798" t="s">
        <v>2806</v>
      </c>
      <c r="B3" s="3145"/>
      <c r="C3" s="3146" t="s">
        <v>2784</v>
      </c>
      <c r="D3" s="3146" t="s">
        <v>2807</v>
      </c>
      <c r="E3" s="3146" t="s">
        <v>2786</v>
      </c>
      <c r="F3" s="3146" t="s">
        <v>2808</v>
      </c>
      <c r="G3" s="3146" t="s">
        <v>2729</v>
      </c>
      <c r="H3" s="962"/>
      <c r="J3" s="3173" t="s">
        <v>2812</v>
      </c>
      <c r="K3" s="3153" t="s">
        <v>973</v>
      </c>
      <c r="L3" s="3153" t="s">
        <v>974</v>
      </c>
      <c r="M3" s="3153" t="s">
        <v>975</v>
      </c>
      <c r="N3" s="3153" t="s">
        <v>976</v>
      </c>
      <c r="O3" s="3153" t="s">
        <v>977</v>
      </c>
      <c r="P3" s="3153" t="s">
        <v>978</v>
      </c>
      <c r="Q3" s="3153" t="s">
        <v>979</v>
      </c>
      <c r="R3" s="3153" t="s">
        <v>980</v>
      </c>
      <c r="S3" s="3153" t="s">
        <v>981</v>
      </c>
      <c r="T3" s="3153" t="s">
        <v>2998</v>
      </c>
      <c r="U3" s="3153" t="s">
        <v>3010</v>
      </c>
    </row>
    <row r="4" spans="1:21" s="959" customFormat="1" ht="19.5" customHeight="1" thickBot="1">
      <c r="A4" s="3799"/>
      <c r="B4" s="3147" t="s">
        <v>2809</v>
      </c>
      <c r="C4" s="3147" t="s">
        <v>2810</v>
      </c>
      <c r="D4" s="3147" t="s">
        <v>2810</v>
      </c>
      <c r="E4" s="3147" t="s">
        <v>2810</v>
      </c>
      <c r="F4" s="3148" t="s">
        <v>2810</v>
      </c>
      <c r="G4" s="3148" t="s">
        <v>2810</v>
      </c>
      <c r="H4" s="962"/>
      <c r="J4" s="3173" t="s">
        <v>982</v>
      </c>
      <c r="K4" s="3153" t="s">
        <v>983</v>
      </c>
      <c r="L4" s="3153" t="s">
        <v>984</v>
      </c>
      <c r="M4" s="3153" t="s">
        <v>985</v>
      </c>
      <c r="N4" s="3153" t="s">
        <v>986</v>
      </c>
      <c r="O4" s="3153" t="s">
        <v>987</v>
      </c>
      <c r="P4" s="3153" t="s">
        <v>988</v>
      </c>
      <c r="Q4" s="3153" t="s">
        <v>989</v>
      </c>
      <c r="R4" s="3153" t="s">
        <v>2943</v>
      </c>
      <c r="S4" s="3153" t="s">
        <v>2978</v>
      </c>
      <c r="T4" s="3153" t="s">
        <v>2999</v>
      </c>
      <c r="U4" s="3153" t="s">
        <v>3011</v>
      </c>
    </row>
    <row r="5" spans="1:21" ht="14.25" customHeight="1">
      <c r="A5" s="3150" t="s">
        <v>990</v>
      </c>
      <c r="B5" s="3151" t="s">
        <v>2811</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2944</v>
      </c>
      <c r="S5" s="3153" t="s">
        <v>2979</v>
      </c>
      <c r="T5" s="3153" t="s">
        <v>999</v>
      </c>
      <c r="U5" s="3153" t="s">
        <v>3012</v>
      </c>
    </row>
    <row r="6" spans="1:21" ht="14.25" customHeight="1">
      <c r="A6" s="3153" t="s">
        <v>990</v>
      </c>
      <c r="B6" s="3153" t="s">
        <v>2812</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2915</v>
      </c>
      <c r="R6" s="3153" t="s">
        <v>2945</v>
      </c>
      <c r="S6" s="3153" t="s">
        <v>1008</v>
      </c>
      <c r="T6" s="3153" t="s">
        <v>3000</v>
      </c>
      <c r="U6" s="3153" t="s">
        <v>3013</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2916</v>
      </c>
      <c r="R7" s="3153" t="s">
        <v>2946</v>
      </c>
      <c r="S7" s="3153" t="s">
        <v>2980</v>
      </c>
      <c r="T7" s="3153" t="s">
        <v>3001</v>
      </c>
      <c r="U7" s="1214" t="s">
        <v>3014</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2917</v>
      </c>
      <c r="R8" s="3153" t="s">
        <v>1021</v>
      </c>
      <c r="S8" s="3153" t="s">
        <v>2981</v>
      </c>
      <c r="T8" s="3153" t="s">
        <v>3002</v>
      </c>
      <c r="U8" s="3153" t="s">
        <v>3015</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2918</v>
      </c>
      <c r="R9" s="3153" t="s">
        <v>1029</v>
      </c>
      <c r="S9" s="3153" t="s">
        <v>1030</v>
      </c>
      <c r="T9" s="3153" t="s">
        <v>1047</v>
      </c>
    </row>
    <row r="10" spans="1:21" ht="14.25" customHeight="1">
      <c r="A10" s="3150" t="s">
        <v>1031</v>
      </c>
      <c r="B10" s="3151" t="s">
        <v>2813</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3003</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2884</v>
      </c>
      <c r="Q11" s="3153" t="s">
        <v>1038</v>
      </c>
      <c r="R11" s="3153" t="s">
        <v>1046</v>
      </c>
      <c r="S11" s="3153" t="s">
        <v>2982</v>
      </c>
      <c r="T11" s="3153" t="s">
        <v>3004</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2885</v>
      </c>
      <c r="Q12" s="3153" t="s">
        <v>2919</v>
      </c>
      <c r="R12" s="3153" t="s">
        <v>2947</v>
      </c>
      <c r="S12" s="3153" t="s">
        <v>2983</v>
      </c>
      <c r="T12" s="3153" t="s">
        <v>3005</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2886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2948</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2887</v>
      </c>
      <c r="Q15" s="3153" t="s">
        <v>2920</v>
      </c>
      <c r="R15" s="3153" t="s">
        <v>1090</v>
      </c>
      <c r="S15" s="3153" t="s">
        <v>2984</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2888</v>
      </c>
      <c r="Q16" s="3153" t="s">
        <v>1075</v>
      </c>
      <c r="R16" s="3153" t="s">
        <v>1098</v>
      </c>
      <c r="S16" s="3153" t="s">
        <v>1054</v>
      </c>
      <c r="T16" s="3153" t="s">
        <v>3006</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2889</v>
      </c>
      <c r="Q17" s="3153" t="s">
        <v>2921</v>
      </c>
      <c r="R17" s="3153" t="s">
        <v>1104</v>
      </c>
      <c r="S17" s="3153" t="s">
        <v>2985</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2890</v>
      </c>
      <c r="Q18" s="3153" t="s">
        <v>1089</v>
      </c>
      <c r="R18" s="3153" t="s">
        <v>2949</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2891</v>
      </c>
      <c r="Q19" s="3153" t="s">
        <v>1097</v>
      </c>
      <c r="R19" s="3153" t="s">
        <v>2950</v>
      </c>
      <c r="S19" s="3153" t="s">
        <v>1113</v>
      </c>
      <c r="T19" s="3153" t="s">
        <v>3007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2892</v>
      </c>
      <c r="Q20" s="3153" t="s">
        <v>2922</v>
      </c>
      <c r="R20" s="3153" t="s">
        <v>1139</v>
      </c>
      <c r="S20" s="3153" t="s">
        <v>2986</v>
      </c>
      <c r="T20" s="3153" t="s">
        <v>1126</v>
      </c>
    </row>
    <row r="21" spans="1:20" ht="14.25" customHeight="1">
      <c r="A21" s="3153" t="s">
        <v>1031</v>
      </c>
      <c r="B21" s="1214" t="s">
        <v>1055</v>
      </c>
      <c r="C21" s="3153">
        <v>32370</v>
      </c>
      <c r="D21" s="3153">
        <v>26730</v>
      </c>
      <c r="E21" s="3153">
        <v>26640</v>
      </c>
      <c r="F21" s="3159"/>
      <c r="G21" s="3160">
        <v>19440</v>
      </c>
      <c r="K21" s="3162" t="s">
        <v>2814</v>
      </c>
      <c r="L21" s="3153" t="s">
        <v>1115</v>
      </c>
      <c r="M21" s="3153" t="s">
        <v>1116</v>
      </c>
      <c r="N21" s="3153" t="s">
        <v>1117</v>
      </c>
      <c r="O21" s="3153" t="s">
        <v>1118</v>
      </c>
      <c r="P21" s="3153" t="s">
        <v>1112</v>
      </c>
      <c r="Q21" s="3153" t="s">
        <v>1132</v>
      </c>
      <c r="R21" s="3153" t="s">
        <v>1142</v>
      </c>
      <c r="S21" s="3153" t="s">
        <v>2987</v>
      </c>
      <c r="T21" s="3153" t="s">
        <v>3008</v>
      </c>
    </row>
    <row r="22" spans="1:20" ht="14.25" customHeight="1">
      <c r="A22" s="3153" t="s">
        <v>1031</v>
      </c>
      <c r="B22" s="1214" t="s">
        <v>1062</v>
      </c>
      <c r="C22" s="3153">
        <v>29830</v>
      </c>
      <c r="D22" s="3153">
        <v>27600</v>
      </c>
      <c r="E22" s="3153">
        <v>28150</v>
      </c>
      <c r="F22" s="3159"/>
      <c r="G22" s="3160">
        <v>20080</v>
      </c>
      <c r="L22" s="3162" t="s">
        <v>2816</v>
      </c>
      <c r="M22" s="3153" t="s">
        <v>1120</v>
      </c>
      <c r="N22" s="3153" t="s">
        <v>1121</v>
      </c>
      <c r="O22" s="3153" t="s">
        <v>1122</v>
      </c>
      <c r="P22" s="3153" t="s">
        <v>2893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2817</v>
      </c>
      <c r="M23" s="3153" t="s">
        <v>1127</v>
      </c>
      <c r="N23" s="3153" t="s">
        <v>1128</v>
      </c>
      <c r="O23" s="3153" t="s">
        <v>2847</v>
      </c>
      <c r="P23" s="3153" t="s">
        <v>2894</v>
      </c>
      <c r="Q23" s="3153" t="s">
        <v>1138</v>
      </c>
      <c r="R23" s="3153" t="s">
        <v>1147</v>
      </c>
      <c r="S23" s="3153" t="s">
        <v>2988</v>
      </c>
    </row>
    <row r="24" spans="1:20" ht="14.25" customHeight="1">
      <c r="A24" s="3153" t="s">
        <v>1031</v>
      </c>
      <c r="B24" s="1214" t="s">
        <v>1078</v>
      </c>
      <c r="C24" s="3153">
        <v>27930</v>
      </c>
      <c r="D24" s="3153">
        <v>32260</v>
      </c>
      <c r="E24" s="3153">
        <v>32120</v>
      </c>
      <c r="F24" s="3159"/>
      <c r="G24" s="3160">
        <v>23470</v>
      </c>
      <c r="L24" s="3162" t="s">
        <v>2818</v>
      </c>
      <c r="M24" s="3153" t="s">
        <v>1130</v>
      </c>
      <c r="N24" s="3153" t="s">
        <v>1131</v>
      </c>
      <c r="O24" s="3153" t="s">
        <v>2848</v>
      </c>
      <c r="P24" s="3153" t="s">
        <v>1134</v>
      </c>
      <c r="Q24" s="3153" t="s">
        <v>2923</v>
      </c>
      <c r="R24" s="3153" t="s">
        <v>2951</v>
      </c>
      <c r="S24" s="3153" t="s">
        <v>2989</v>
      </c>
    </row>
    <row r="25" spans="1:20" ht="14.25" customHeight="1">
      <c r="A25" s="3153" t="s">
        <v>1031</v>
      </c>
      <c r="B25" s="1214" t="s">
        <v>1083</v>
      </c>
      <c r="C25" s="3153">
        <v>32230</v>
      </c>
      <c r="D25" s="3153">
        <v>29640</v>
      </c>
      <c r="E25" s="3153">
        <v>29510</v>
      </c>
      <c r="F25" s="3159"/>
      <c r="G25" s="3160">
        <v>21560</v>
      </c>
      <c r="L25" s="3162" t="s">
        <v>2819</v>
      </c>
      <c r="M25" s="3153" t="s">
        <v>2822</v>
      </c>
      <c r="N25" s="3153" t="s">
        <v>1133</v>
      </c>
      <c r="O25" s="3153" t="s">
        <v>1141</v>
      </c>
      <c r="P25" s="3153" t="s">
        <v>1137</v>
      </c>
      <c r="Q25" s="3153" t="s">
        <v>1124</v>
      </c>
      <c r="R25" s="3153" t="s">
        <v>1119</v>
      </c>
      <c r="S25" s="3153" t="s">
        <v>2990</v>
      </c>
    </row>
    <row r="26" spans="1:20" ht="14.25" customHeight="1">
      <c r="A26" s="3153" t="s">
        <v>1031</v>
      </c>
      <c r="B26" s="1214" t="s">
        <v>1092</v>
      </c>
      <c r="C26" s="3153">
        <v>31690</v>
      </c>
      <c r="D26" s="3153">
        <v>27650</v>
      </c>
      <c r="E26" s="3153">
        <v>28200</v>
      </c>
      <c r="F26" s="3159"/>
      <c r="G26" s="3160">
        <v>20110</v>
      </c>
      <c r="L26" s="3162" t="s">
        <v>2820</v>
      </c>
      <c r="M26" s="3153" t="s">
        <v>2823</v>
      </c>
      <c r="N26" s="3153" t="s">
        <v>1136</v>
      </c>
      <c r="O26" s="3153" t="s">
        <v>1143</v>
      </c>
      <c r="P26" s="3153" t="s">
        <v>2895</v>
      </c>
      <c r="Q26" s="3153" t="s">
        <v>2924</v>
      </c>
      <c r="R26" s="3153" t="s">
        <v>1125</v>
      </c>
      <c r="S26" s="3153" t="s">
        <v>2991</v>
      </c>
    </row>
    <row r="27" spans="1:20" ht="14.25" customHeight="1">
      <c r="A27" s="3153" t="s">
        <v>1031</v>
      </c>
      <c r="B27" s="1214" t="s">
        <v>1099</v>
      </c>
      <c r="C27" s="3153">
        <v>29610</v>
      </c>
      <c r="D27" s="3153">
        <v>27770</v>
      </c>
      <c r="E27" s="3153">
        <v>28300</v>
      </c>
      <c r="F27" s="3159"/>
      <c r="G27" s="3160">
        <v>20210</v>
      </c>
      <c r="M27" s="3153" t="s">
        <v>2824</v>
      </c>
      <c r="N27" s="3153" t="s">
        <v>1140</v>
      </c>
      <c r="O27" s="3153" t="s">
        <v>1146</v>
      </c>
      <c r="P27" s="3153" t="s">
        <v>1123</v>
      </c>
      <c r="Q27" s="3153" t="s">
        <v>2925</v>
      </c>
      <c r="R27" s="3153" t="s">
        <v>2952</v>
      </c>
      <c r="S27" s="3153" t="s">
        <v>2992</v>
      </c>
    </row>
    <row r="28" spans="1:20" ht="14.25" customHeight="1">
      <c r="A28" s="3167" t="s">
        <v>1031</v>
      </c>
      <c r="B28" s="2404" t="s">
        <v>1107</v>
      </c>
      <c r="C28" s="1212"/>
      <c r="D28" s="1212">
        <v>31520</v>
      </c>
      <c r="E28" s="1212">
        <v>31410</v>
      </c>
      <c r="F28" s="3164"/>
      <c r="G28" s="3165">
        <v>22940</v>
      </c>
      <c r="M28" s="3153" t="s">
        <v>2825</v>
      </c>
      <c r="N28" s="3153" t="s">
        <v>2832</v>
      </c>
      <c r="O28" s="3153" t="s">
        <v>2849</v>
      </c>
      <c r="P28" s="3153" t="s">
        <v>2896</v>
      </c>
      <c r="Q28" s="3153" t="s">
        <v>2926</v>
      </c>
      <c r="R28" s="3153" t="s">
        <v>2953</v>
      </c>
      <c r="S28" s="3162" t="s">
        <v>2993</v>
      </c>
    </row>
    <row r="29" spans="1:20" ht="14.25" customHeight="1" thickBot="1">
      <c r="A29" s="3168" t="s">
        <v>1031</v>
      </c>
      <c r="B29" s="3156" t="s">
        <v>2814</v>
      </c>
      <c r="C29" s="3156"/>
      <c r="D29" s="3156">
        <v>29460</v>
      </c>
      <c r="E29" s="3156">
        <v>28640</v>
      </c>
      <c r="F29" s="3157"/>
      <c r="G29" s="3169">
        <v>21430</v>
      </c>
      <c r="M29" s="3162" t="s">
        <v>2826</v>
      </c>
      <c r="N29" s="3153" t="s">
        <v>2833</v>
      </c>
      <c r="O29" s="3153" t="s">
        <v>2850</v>
      </c>
      <c r="P29" s="3153" t="s">
        <v>2897</v>
      </c>
      <c r="Q29" s="3153" t="s">
        <v>2927</v>
      </c>
      <c r="R29" s="3153" t="s">
        <v>2954</v>
      </c>
      <c r="S29" s="3162" t="s">
        <v>1129</v>
      </c>
    </row>
    <row r="30" spans="1:20" ht="14.25" customHeight="1">
      <c r="A30" s="3167" t="s">
        <v>1145</v>
      </c>
      <c r="B30" s="1214" t="s">
        <v>2815</v>
      </c>
      <c r="C30" s="1214">
        <v>26890</v>
      </c>
      <c r="D30" s="1214">
        <v>26770</v>
      </c>
      <c r="E30" s="1214">
        <v>25700</v>
      </c>
      <c r="F30" s="3154">
        <v>8180</v>
      </c>
      <c r="G30" s="3154">
        <v>18740</v>
      </c>
      <c r="I30" s="969"/>
      <c r="M30" s="3162" t="s">
        <v>2827</v>
      </c>
      <c r="N30" s="3153" t="s">
        <v>2834</v>
      </c>
      <c r="O30" s="3153" t="s">
        <v>2851</v>
      </c>
      <c r="P30" s="3153" t="s">
        <v>2898</v>
      </c>
      <c r="Q30" s="3153" t="s">
        <v>2928</v>
      </c>
      <c r="R30" s="3153" t="s">
        <v>2955</v>
      </c>
      <c r="S30" s="3162" t="s">
        <v>2994</v>
      </c>
    </row>
    <row r="31" spans="1:20" ht="14.25" customHeight="1">
      <c r="A31" s="3153" t="s">
        <v>1145</v>
      </c>
      <c r="B31" s="1214" t="s">
        <v>974</v>
      </c>
      <c r="C31" s="3153">
        <v>24550</v>
      </c>
      <c r="D31" s="3153">
        <v>23990</v>
      </c>
      <c r="E31" s="3153">
        <v>22930</v>
      </c>
      <c r="F31" s="3159">
        <v>7470</v>
      </c>
      <c r="G31" s="3159">
        <v>16790</v>
      </c>
      <c r="I31" s="969"/>
      <c r="M31" s="3162" t="s">
        <v>2828</v>
      </c>
      <c r="N31" s="3153" t="s">
        <v>2835</v>
      </c>
      <c r="O31" s="3153" t="s">
        <v>2852</v>
      </c>
      <c r="P31" s="3153" t="s">
        <v>2899</v>
      </c>
      <c r="Q31" s="3153" t="s">
        <v>2929</v>
      </c>
      <c r="R31" s="3153" t="s">
        <v>2956</v>
      </c>
      <c r="S31" s="3162" t="s">
        <v>2995</v>
      </c>
    </row>
    <row r="32" spans="1:20" ht="14.25" customHeight="1">
      <c r="A32" s="3153" t="s">
        <v>1145</v>
      </c>
      <c r="B32" s="1214" t="s">
        <v>984</v>
      </c>
      <c r="C32" s="3153">
        <v>27210</v>
      </c>
      <c r="D32" s="3153">
        <v>23240</v>
      </c>
      <c r="E32" s="3153">
        <v>23260</v>
      </c>
      <c r="F32" s="3159">
        <v>7130</v>
      </c>
      <c r="G32" s="3159">
        <v>16270</v>
      </c>
      <c r="I32" s="969"/>
      <c r="M32" s="3162" t="s">
        <v>2829</v>
      </c>
      <c r="N32" s="3153" t="s">
        <v>2836</v>
      </c>
      <c r="O32" s="3153" t="s">
        <v>1149</v>
      </c>
      <c r="P32" s="3153" t="s">
        <v>2900</v>
      </c>
      <c r="Q32" s="3153" t="s">
        <v>1148</v>
      </c>
      <c r="R32" s="3153" t="s">
        <v>2957</v>
      </c>
      <c r="S32" s="3162" t="s">
        <v>2996</v>
      </c>
    </row>
    <row r="33" spans="1:18" ht="14.25" customHeight="1">
      <c r="A33" s="3153" t="s">
        <v>1145</v>
      </c>
      <c r="B33" s="1214" t="s">
        <v>993</v>
      </c>
      <c r="C33" s="3153">
        <v>27300</v>
      </c>
      <c r="D33" s="3153">
        <v>22980</v>
      </c>
      <c r="E33" s="3153">
        <v>24260</v>
      </c>
      <c r="F33" s="3159">
        <v>5860</v>
      </c>
      <c r="G33" s="3159">
        <v>16090</v>
      </c>
      <c r="I33" s="969"/>
      <c r="M33" s="3162" t="s">
        <v>2830</v>
      </c>
      <c r="N33" s="3153" t="s">
        <v>2837</v>
      </c>
      <c r="O33" s="3153" t="s">
        <v>1150</v>
      </c>
      <c r="P33" s="3153" t="s">
        <v>2901</v>
      </c>
      <c r="Q33" s="3153" t="s">
        <v>2930</v>
      </c>
      <c r="R33" s="3153" t="s">
        <v>2958</v>
      </c>
    </row>
    <row r="34" spans="1:18" ht="14.25" customHeight="1">
      <c r="A34" s="3153" t="s">
        <v>1145</v>
      </c>
      <c r="B34" s="1214" t="s">
        <v>1003</v>
      </c>
      <c r="C34" s="3153">
        <v>23090</v>
      </c>
      <c r="D34" s="3153">
        <v>23390</v>
      </c>
      <c r="E34" s="3153">
        <v>23510</v>
      </c>
      <c r="F34" s="3159">
        <v>6700</v>
      </c>
      <c r="G34" s="3159">
        <v>16370</v>
      </c>
      <c r="I34" s="969"/>
      <c r="N34" s="3153" t="s">
        <v>2838</v>
      </c>
      <c r="O34" s="3153" t="s">
        <v>1151</v>
      </c>
      <c r="P34" s="3153" t="s">
        <v>2902</v>
      </c>
      <c r="Q34" s="3153" t="s">
        <v>2931</v>
      </c>
      <c r="R34" s="3153" t="s">
        <v>2959</v>
      </c>
    </row>
    <row r="35" spans="1:18" ht="14.25" customHeight="1">
      <c r="A35" s="3153" t="s">
        <v>1145</v>
      </c>
      <c r="B35" s="1214" t="s">
        <v>1010</v>
      </c>
      <c r="C35" s="3153">
        <v>27270</v>
      </c>
      <c r="D35" s="3153">
        <v>24270</v>
      </c>
      <c r="E35" s="3153">
        <v>24950</v>
      </c>
      <c r="F35" s="3159">
        <v>6600</v>
      </c>
      <c r="G35" s="3159">
        <v>16990</v>
      </c>
      <c r="I35" s="969"/>
      <c r="N35" s="3153" t="s">
        <v>2839</v>
      </c>
      <c r="O35" s="3153" t="s">
        <v>2853</v>
      </c>
      <c r="P35" s="3153" t="s">
        <v>2903</v>
      </c>
      <c r="Q35" s="3153" t="s">
        <v>2932</v>
      </c>
      <c r="R35" s="3153" t="s">
        <v>2960</v>
      </c>
    </row>
    <row r="36" spans="1:18" ht="14.25" customHeight="1">
      <c r="A36" s="3153" t="s">
        <v>1145</v>
      </c>
      <c r="B36" s="1214" t="s">
        <v>1016</v>
      </c>
      <c r="C36" s="3153">
        <v>23490</v>
      </c>
      <c r="D36" s="3153">
        <v>23020</v>
      </c>
      <c r="E36" s="3153">
        <v>25230</v>
      </c>
      <c r="F36" s="3159">
        <v>6780</v>
      </c>
      <c r="G36" s="3159">
        <v>16120</v>
      </c>
      <c r="I36" s="969"/>
      <c r="N36" s="3162" t="s">
        <v>2840</v>
      </c>
      <c r="O36" s="3189" t="s">
        <v>2854</v>
      </c>
      <c r="P36" s="3153" t="s">
        <v>2904</v>
      </c>
      <c r="Q36" s="3153" t="s">
        <v>2933</v>
      </c>
      <c r="R36" s="3153" t="s">
        <v>2961</v>
      </c>
    </row>
    <row r="37" spans="1:18" ht="14.25" customHeight="1">
      <c r="A37" s="3153" t="s">
        <v>1145</v>
      </c>
      <c r="B37" s="1214" t="s">
        <v>1023</v>
      </c>
      <c r="C37" s="3153">
        <v>24380</v>
      </c>
      <c r="D37" s="3153">
        <v>22240</v>
      </c>
      <c r="E37" s="3153">
        <v>25980</v>
      </c>
      <c r="F37" s="3159">
        <v>8160</v>
      </c>
      <c r="G37" s="3159">
        <v>15570</v>
      </c>
      <c r="I37" s="970"/>
      <c r="N37" s="3162" t="s">
        <v>2841</v>
      </c>
      <c r="O37" s="3189" t="s">
        <v>2855</v>
      </c>
      <c r="P37" s="3153" t="s">
        <v>2905</v>
      </c>
      <c r="Q37" s="3153" t="s">
        <v>2934</v>
      </c>
      <c r="R37" s="3153" t="s">
        <v>2962</v>
      </c>
    </row>
    <row r="38" spans="1:18" ht="14.25" customHeight="1">
      <c r="A38" s="3153" t="s">
        <v>1145</v>
      </c>
      <c r="B38" s="1214" t="s">
        <v>1033</v>
      </c>
      <c r="C38" s="3153">
        <v>23120</v>
      </c>
      <c r="D38" s="3153">
        <v>24630</v>
      </c>
      <c r="E38" s="3153">
        <v>25030</v>
      </c>
      <c r="F38" s="3159">
        <v>7710</v>
      </c>
      <c r="G38" s="3159">
        <v>17240</v>
      </c>
      <c r="I38" s="969"/>
      <c r="N38" s="3162" t="s">
        <v>2842</v>
      </c>
      <c r="O38" s="3189" t="s">
        <v>2856</v>
      </c>
      <c r="P38" s="3153" t="s">
        <v>2906</v>
      </c>
      <c r="Q38" s="3153" t="s">
        <v>2935</v>
      </c>
      <c r="R38" s="3153" t="s">
        <v>2963</v>
      </c>
    </row>
    <row r="39" spans="1:18" ht="14.25" customHeight="1">
      <c r="A39" s="3153" t="s">
        <v>1145</v>
      </c>
      <c r="B39" s="1214" t="s">
        <v>1042</v>
      </c>
      <c r="C39" s="3153">
        <v>22330</v>
      </c>
      <c r="D39" s="3153">
        <v>21140</v>
      </c>
      <c r="E39" s="3153">
        <v>23970</v>
      </c>
      <c r="F39" s="3159">
        <v>7940</v>
      </c>
      <c r="G39" s="3159">
        <v>14790</v>
      </c>
      <c r="I39" s="969"/>
      <c r="N39" s="3162" t="s">
        <v>2843</v>
      </c>
      <c r="O39" s="3189" t="s">
        <v>2857</v>
      </c>
      <c r="P39" s="3153" t="s">
        <v>2907</v>
      </c>
      <c r="Q39" s="3153" t="s">
        <v>2936</v>
      </c>
      <c r="R39" s="3153" t="s">
        <v>2964</v>
      </c>
    </row>
    <row r="40" spans="1:18" ht="14.25" customHeight="1">
      <c r="A40" s="3153" t="s">
        <v>1145</v>
      </c>
      <c r="B40" s="1214" t="s">
        <v>1049</v>
      </c>
      <c r="C40" s="3153">
        <v>24740</v>
      </c>
      <c r="D40" s="3153">
        <v>24690</v>
      </c>
      <c r="E40" s="3153">
        <v>22610</v>
      </c>
      <c r="F40" s="3159"/>
      <c r="G40" s="3159">
        <v>17280</v>
      </c>
      <c r="I40" s="969"/>
      <c r="N40" s="3162" t="s">
        <v>2844</v>
      </c>
      <c r="O40" s="3189" t="s">
        <v>2858</v>
      </c>
      <c r="P40" s="3153" t="s">
        <v>2908</v>
      </c>
      <c r="Q40" s="3153" t="s">
        <v>2937</v>
      </c>
      <c r="R40" s="3153" t="s">
        <v>2965</v>
      </c>
    </row>
    <row r="41" spans="1:18" ht="14.25" customHeight="1">
      <c r="A41" s="3153" t="s">
        <v>1145</v>
      </c>
      <c r="B41" s="1214" t="s">
        <v>1056</v>
      </c>
      <c r="C41" s="3153">
        <v>21220</v>
      </c>
      <c r="D41" s="3153">
        <v>21120</v>
      </c>
      <c r="E41" s="3153">
        <v>22590</v>
      </c>
      <c r="F41" s="3159"/>
      <c r="G41" s="3159">
        <v>14780</v>
      </c>
      <c r="I41" s="969"/>
      <c r="N41" s="3162" t="s">
        <v>2845</v>
      </c>
      <c r="O41" s="3190" t="s">
        <v>2859</v>
      </c>
      <c r="P41" s="1214" t="s">
        <v>2909</v>
      </c>
      <c r="Q41" s="3162" t="s">
        <v>2938</v>
      </c>
      <c r="R41" s="1214" t="s">
        <v>2966</v>
      </c>
    </row>
    <row r="42" spans="1:18" ht="14.25" customHeight="1">
      <c r="A42" s="3153" t="s">
        <v>1145</v>
      </c>
      <c r="B42" s="1214" t="s">
        <v>1063</v>
      </c>
      <c r="C42" s="3153">
        <v>24800</v>
      </c>
      <c r="D42" s="3153">
        <v>22280</v>
      </c>
      <c r="E42" s="3153">
        <v>24350</v>
      </c>
      <c r="F42" s="3159"/>
      <c r="G42" s="3159">
        <v>15590</v>
      </c>
      <c r="I42" s="969"/>
      <c r="O42" s="3153" t="s">
        <v>2860</v>
      </c>
      <c r="P42" s="3153" t="s">
        <v>2910</v>
      </c>
      <c r="Q42" s="3162" t="s">
        <v>2939</v>
      </c>
      <c r="R42" s="3153" t="s">
        <v>2967</v>
      </c>
    </row>
    <row r="43" spans="1:18" ht="14.25" customHeight="1">
      <c r="A43" s="3153" t="s">
        <v>1145</v>
      </c>
      <c r="B43" s="1214" t="s">
        <v>1071</v>
      </c>
      <c r="C43" s="3153">
        <v>21210</v>
      </c>
      <c r="D43" s="3153">
        <v>21160</v>
      </c>
      <c r="E43" s="3153">
        <v>22650</v>
      </c>
      <c r="F43" s="3159"/>
      <c r="G43" s="3159">
        <v>14800</v>
      </c>
      <c r="I43" s="969"/>
      <c r="O43" s="3153" t="s">
        <v>2861</v>
      </c>
      <c r="P43" s="3153" t="s">
        <v>2911</v>
      </c>
      <c r="Q43" s="3162" t="s">
        <v>2940</v>
      </c>
      <c r="R43" s="3153" t="s">
        <v>2968</v>
      </c>
    </row>
    <row r="44" spans="1:18" ht="14.25" customHeight="1">
      <c r="A44" s="3153" t="s">
        <v>1145</v>
      </c>
      <c r="B44" s="1214" t="s">
        <v>1079</v>
      </c>
      <c r="C44" s="3153">
        <v>22370</v>
      </c>
      <c r="D44" s="3153">
        <v>23140</v>
      </c>
      <c r="E44" s="3153">
        <v>25090</v>
      </c>
      <c r="F44" s="3159"/>
      <c r="G44" s="3159">
        <v>16190</v>
      </c>
      <c r="I44" s="969"/>
      <c r="O44" s="3153" t="s">
        <v>2862</v>
      </c>
      <c r="P44" s="3153" t="s">
        <v>2912</v>
      </c>
      <c r="Q44" s="3162" t="s">
        <v>2941</v>
      </c>
      <c r="R44" s="3153" t="s">
        <v>2969</v>
      </c>
    </row>
    <row r="45" spans="1:18" ht="14.25" customHeight="1">
      <c r="A45" s="3153" t="s">
        <v>1145</v>
      </c>
      <c r="B45" s="1214" t="s">
        <v>1084</v>
      </c>
      <c r="C45" s="3153">
        <v>21240</v>
      </c>
      <c r="D45" s="3153">
        <v>27050</v>
      </c>
      <c r="E45" s="3153">
        <v>28000</v>
      </c>
      <c r="F45" s="3159"/>
      <c r="G45" s="3159">
        <v>18940</v>
      </c>
      <c r="I45" s="969"/>
      <c r="O45" s="3153" t="s">
        <v>2863</v>
      </c>
      <c r="P45" s="3153" t="s">
        <v>2913</v>
      </c>
      <c r="R45" s="3153" t="s">
        <v>2970</v>
      </c>
    </row>
    <row r="46" spans="1:18" ht="14.25" customHeight="1">
      <c r="A46" s="3153" t="s">
        <v>1145</v>
      </c>
      <c r="B46" s="1214" t="s">
        <v>1093</v>
      </c>
      <c r="C46" s="3153">
        <v>23240</v>
      </c>
      <c r="D46" s="3153">
        <v>23000</v>
      </c>
      <c r="E46" s="3153">
        <v>24980</v>
      </c>
      <c r="F46" s="3159"/>
      <c r="G46" s="3159">
        <v>16100</v>
      </c>
      <c r="I46" s="969"/>
      <c r="O46" s="3153" t="s">
        <v>2864</v>
      </c>
      <c r="P46" s="3153"/>
      <c r="R46" s="3153" t="s">
        <v>2971</v>
      </c>
    </row>
    <row r="47" spans="1:18" ht="14.25" customHeight="1">
      <c r="A47" s="3153" t="s">
        <v>1145</v>
      </c>
      <c r="B47" s="2404" t="s">
        <v>1100</v>
      </c>
      <c r="C47" s="1212">
        <v>27150</v>
      </c>
      <c r="D47" s="1212">
        <v>23310</v>
      </c>
      <c r="E47" s="1212">
        <v>25150</v>
      </c>
      <c r="F47" s="3164"/>
      <c r="G47" s="3164">
        <v>16310</v>
      </c>
      <c r="I47" s="969"/>
      <c r="O47" s="3153" t="s">
        <v>2865</v>
      </c>
      <c r="P47" s="3153"/>
      <c r="R47" s="3162" t="s">
        <v>2972</v>
      </c>
    </row>
    <row r="48" spans="1:18" ht="14.25" customHeight="1">
      <c r="A48" s="3153" t="s">
        <v>1145</v>
      </c>
      <c r="B48" s="3153" t="s">
        <v>1108</v>
      </c>
      <c r="C48" s="3153">
        <v>23100</v>
      </c>
      <c r="D48" s="3153">
        <v>21110</v>
      </c>
      <c r="E48" s="3153">
        <v>23080</v>
      </c>
      <c r="F48" s="3159"/>
      <c r="G48" s="3166">
        <v>14780</v>
      </c>
      <c r="I48" s="969"/>
      <c r="O48" s="3153" t="s">
        <v>2866</v>
      </c>
      <c r="P48" s="3153"/>
      <c r="R48" s="3162" t="s">
        <v>2973</v>
      </c>
    </row>
    <row r="49" spans="1:18" ht="14.25" customHeight="1">
      <c r="A49" s="3153" t="s">
        <v>1145</v>
      </c>
      <c r="B49" s="1214" t="s">
        <v>1115</v>
      </c>
      <c r="C49" s="1214">
        <v>23400</v>
      </c>
      <c r="D49" s="1214">
        <v>22920</v>
      </c>
      <c r="E49" s="1214">
        <v>24900</v>
      </c>
      <c r="F49" s="3154"/>
      <c r="G49" s="3154">
        <v>16040</v>
      </c>
      <c r="I49" s="969"/>
      <c r="O49" s="3153" t="s">
        <v>2867</v>
      </c>
      <c r="P49" s="3153"/>
      <c r="R49" s="3162" t="s">
        <v>2974</v>
      </c>
    </row>
    <row r="50" spans="1:18" ht="14.25" customHeight="1">
      <c r="A50" s="3153" t="s">
        <v>1145</v>
      </c>
      <c r="B50" s="3153" t="s">
        <v>2816</v>
      </c>
      <c r="C50" s="3153">
        <v>21200</v>
      </c>
      <c r="D50" s="3153">
        <v>26540</v>
      </c>
      <c r="E50" s="3153">
        <v>23200</v>
      </c>
      <c r="F50" s="3159"/>
      <c r="G50" s="3159">
        <v>18580</v>
      </c>
      <c r="I50" s="969"/>
      <c r="O50" s="3162" t="s">
        <v>2868</v>
      </c>
      <c r="R50" s="3162" t="s">
        <v>2975</v>
      </c>
    </row>
    <row r="51" spans="1:18" ht="14.25" customHeight="1">
      <c r="A51" s="3153" t="s">
        <v>1145</v>
      </c>
      <c r="B51" s="3153" t="s">
        <v>2817</v>
      </c>
      <c r="C51" s="3153">
        <v>23000</v>
      </c>
      <c r="D51" s="3153">
        <v>23460</v>
      </c>
      <c r="E51" s="3153">
        <v>25290</v>
      </c>
      <c r="F51" s="3159"/>
      <c r="G51" s="3159">
        <v>16420</v>
      </c>
      <c r="I51" s="969"/>
      <c r="O51" s="3162" t="s">
        <v>2869</v>
      </c>
      <c r="R51" s="3162" t="s">
        <v>2976</v>
      </c>
    </row>
    <row r="52" spans="1:18" ht="14.25" customHeight="1">
      <c r="A52" s="3153" t="s">
        <v>1145</v>
      </c>
      <c r="B52" s="3153" t="s">
        <v>2818</v>
      </c>
      <c r="C52" s="3153">
        <v>26660</v>
      </c>
      <c r="D52" s="3153">
        <v>22350</v>
      </c>
      <c r="E52" s="3153">
        <v>22920</v>
      </c>
      <c r="F52" s="3159"/>
      <c r="G52" s="3159">
        <v>15640</v>
      </c>
      <c r="I52" s="969"/>
      <c r="O52" s="3162" t="s">
        <v>2870</v>
      </c>
    </row>
    <row r="53" spans="1:18" ht="14.25" customHeight="1">
      <c r="A53" s="3153" t="s">
        <v>1145</v>
      </c>
      <c r="B53" s="3153" t="s">
        <v>2819</v>
      </c>
      <c r="C53" s="3153">
        <v>23580</v>
      </c>
      <c r="D53" s="3153"/>
      <c r="E53" s="3153">
        <v>24280</v>
      </c>
      <c r="F53" s="3159"/>
      <c r="G53" s="3159"/>
      <c r="I53" s="969"/>
      <c r="O53" s="3162" t="s">
        <v>2871</v>
      </c>
    </row>
    <row r="54" spans="1:18" ht="14.25" customHeight="1" thickBot="1">
      <c r="A54" s="3168" t="s">
        <v>1145</v>
      </c>
      <c r="B54" s="3156" t="s">
        <v>2820</v>
      </c>
      <c r="C54" s="3156">
        <v>22460</v>
      </c>
      <c r="D54" s="3156"/>
      <c r="E54" s="3156"/>
      <c r="F54" s="3157"/>
      <c r="G54" s="3169"/>
      <c r="I54" s="969"/>
      <c r="O54" s="3162" t="s">
        <v>2872</v>
      </c>
    </row>
    <row r="55" spans="1:18" ht="14.25" customHeight="1">
      <c r="A55" s="3167" t="s">
        <v>853</v>
      </c>
      <c r="B55" s="1214" t="s">
        <v>2821</v>
      </c>
      <c r="C55" s="1214">
        <v>21970</v>
      </c>
      <c r="D55" s="1214">
        <v>20370</v>
      </c>
      <c r="E55" s="1214">
        <v>20180</v>
      </c>
      <c r="F55" s="3154">
        <v>5730</v>
      </c>
      <c r="G55" s="3154">
        <v>13820</v>
      </c>
      <c r="I55" s="969"/>
      <c r="O55" s="3162" t="s">
        <v>2873</v>
      </c>
    </row>
    <row r="56" spans="1:18" ht="14.25" customHeight="1">
      <c r="A56" s="3153" t="s">
        <v>853</v>
      </c>
      <c r="B56" s="3153" t="s">
        <v>975</v>
      </c>
      <c r="C56" s="3153">
        <v>20470</v>
      </c>
      <c r="D56" s="3153">
        <v>20700</v>
      </c>
      <c r="E56" s="3153">
        <v>20380</v>
      </c>
      <c r="F56" s="3159">
        <v>4760</v>
      </c>
      <c r="G56" s="3159">
        <v>14050</v>
      </c>
      <c r="I56" s="969"/>
      <c r="O56" s="3162" t="s">
        <v>2874</v>
      </c>
    </row>
    <row r="57" spans="1:18" ht="14.25" customHeight="1">
      <c r="A57" s="3153" t="s">
        <v>853</v>
      </c>
      <c r="B57" s="3153" t="s">
        <v>985</v>
      </c>
      <c r="C57" s="3153">
        <v>20790</v>
      </c>
      <c r="D57" s="3153">
        <v>21370</v>
      </c>
      <c r="E57" s="3153">
        <v>20890</v>
      </c>
      <c r="F57" s="3159">
        <v>4910</v>
      </c>
      <c r="G57" s="3159">
        <v>14510</v>
      </c>
      <c r="I57" s="969"/>
      <c r="O57" s="3162" t="s">
        <v>2875</v>
      </c>
    </row>
    <row r="58" spans="1:18" ht="14.25" customHeight="1">
      <c r="A58" s="3153" t="s">
        <v>853</v>
      </c>
      <c r="B58" s="3153" t="s">
        <v>994</v>
      </c>
      <c r="C58" s="3153">
        <v>21460</v>
      </c>
      <c r="D58" s="3153">
        <v>20920</v>
      </c>
      <c r="E58" s="3153">
        <v>23410</v>
      </c>
      <c r="F58" s="3159">
        <v>5100</v>
      </c>
      <c r="G58" s="3159">
        <v>14200</v>
      </c>
      <c r="I58" s="969"/>
      <c r="O58" s="3162" t="s">
        <v>2876</v>
      </c>
    </row>
    <row r="59" spans="1:18" ht="14.25" customHeight="1">
      <c r="A59" s="3153" t="s">
        <v>853</v>
      </c>
      <c r="B59" s="3153" t="s">
        <v>1004</v>
      </c>
      <c r="C59" s="3153">
        <v>21000</v>
      </c>
      <c r="D59" s="3153">
        <v>21550</v>
      </c>
      <c r="E59" s="3153">
        <v>21150</v>
      </c>
      <c r="F59" s="3159">
        <v>5250</v>
      </c>
      <c r="G59" s="3159">
        <v>14630</v>
      </c>
      <c r="I59" s="969"/>
      <c r="O59" s="3162" t="s">
        <v>2877</v>
      </c>
    </row>
    <row r="60" spans="1:18" ht="14.25" customHeight="1">
      <c r="A60" s="3153" t="s">
        <v>853</v>
      </c>
      <c r="B60" s="3153" t="s">
        <v>1011</v>
      </c>
      <c r="C60" s="3153">
        <v>21640</v>
      </c>
      <c r="D60" s="3153">
        <v>21260</v>
      </c>
      <c r="E60" s="3153">
        <v>24040</v>
      </c>
      <c r="F60" s="3159">
        <v>4470</v>
      </c>
      <c r="G60" s="3159">
        <v>14430</v>
      </c>
      <c r="I60" s="969"/>
      <c r="O60" s="3162" t="s">
        <v>2878</v>
      </c>
    </row>
    <row r="61" spans="1:18" ht="14.25" customHeight="1">
      <c r="A61" s="3153" t="s">
        <v>853</v>
      </c>
      <c r="B61" s="3153" t="s">
        <v>1017</v>
      </c>
      <c r="C61" s="3153">
        <v>21330</v>
      </c>
      <c r="D61" s="3153">
        <v>18640</v>
      </c>
      <c r="E61" s="3153">
        <v>21190</v>
      </c>
      <c r="F61" s="3159">
        <v>4180</v>
      </c>
      <c r="G61" s="3161">
        <v>12650</v>
      </c>
      <c r="I61" s="969"/>
      <c r="O61" s="3162" t="s">
        <v>2879</v>
      </c>
    </row>
    <row r="62" spans="1:18" ht="14.25" customHeight="1">
      <c r="A62" s="3153" t="s">
        <v>853</v>
      </c>
      <c r="B62" s="3153" t="s">
        <v>1024</v>
      </c>
      <c r="C62" s="3153">
        <v>18710</v>
      </c>
      <c r="D62" s="3153">
        <v>19400</v>
      </c>
      <c r="E62" s="3153">
        <v>23750</v>
      </c>
      <c r="F62" s="3159">
        <v>4860</v>
      </c>
      <c r="G62" s="3161">
        <v>13170</v>
      </c>
      <c r="I62" s="969"/>
      <c r="O62" s="3162" t="s">
        <v>2880</v>
      </c>
    </row>
    <row r="63" spans="1:18" ht="14.25" customHeight="1">
      <c r="A63" s="3153" t="s">
        <v>853</v>
      </c>
      <c r="B63" s="3153" t="s">
        <v>1034</v>
      </c>
      <c r="C63" s="3153">
        <v>19480</v>
      </c>
      <c r="D63" s="3153">
        <v>16830</v>
      </c>
      <c r="E63" s="3153">
        <v>21590</v>
      </c>
      <c r="F63" s="3159">
        <v>4560</v>
      </c>
      <c r="G63" s="3161">
        <v>11420</v>
      </c>
      <c r="I63" s="969"/>
      <c r="O63" s="3162" t="s">
        <v>2881</v>
      </c>
    </row>
    <row r="64" spans="1:18" ht="14.25" customHeight="1">
      <c r="A64" s="3153" t="s">
        <v>853</v>
      </c>
      <c r="B64" s="3153" t="s">
        <v>1043</v>
      </c>
      <c r="C64" s="3153">
        <v>16920</v>
      </c>
      <c r="D64" s="3153">
        <v>19190</v>
      </c>
      <c r="E64" s="3153">
        <v>22200</v>
      </c>
      <c r="F64" s="3159">
        <v>4390</v>
      </c>
      <c r="G64" s="3161">
        <v>13030</v>
      </c>
      <c r="I64" s="969"/>
      <c r="O64" s="3162" t="s">
        <v>2882</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2822</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2823</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2824</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2825</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2826</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2827</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2828</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2829</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2830</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2831</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2832</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2833</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2834</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2835</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2836</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2837</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2838</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2839</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2840</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2841</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2842</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2843</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2844</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2845</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2846</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2847</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2848</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2849</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2850</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2851</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2852</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2853</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2854</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2855</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2856</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2857</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2858</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2859</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2860</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2861</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2862</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2863</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2864</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2865</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2866</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2867</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2868</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2869</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2870</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2871</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2872</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2873</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2874</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2875</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2876</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2877</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2878</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2879</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2880</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2881</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2882</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2883</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2884</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2885</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2886</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2887</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2888</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2889</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2890</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2891</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2892</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2893</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2894</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2895</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2896</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2897</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2898</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2899</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2900</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2901</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2902</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2903</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2904</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2905</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2906</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2907</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2908</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2909</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2910</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2911</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2912</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2913</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2914</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2915</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2916</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2917</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2918</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2919</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2920</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2921</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2922</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2923</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2924</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2925</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2926</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2927</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2928</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2929</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2930</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2931</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2932</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2933</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2934</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2935</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2936</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2937</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2938</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2939</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2940</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2941</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2942</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2943</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2944</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2945</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2946</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2947</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2948</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2949</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2950</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2951</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2952</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2953</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2954</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2955</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2956</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2957</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2958</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2959</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2960</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2961</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2962</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2963</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2964</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2965</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2966</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2967</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2968</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2969</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2970</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2971</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2972</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2973</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2974</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2975</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2976</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4" t="s">
        <v>2977</v>
      </c>
      <c r="C327" s="2404">
        <v>3750</v>
      </c>
      <c r="D327" s="2404">
        <v>3710</v>
      </c>
      <c r="E327" s="2404">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2978</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2979</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2980</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2981</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2982</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2983</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2984</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2985</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2986</v>
      </c>
      <c r="C345" s="3162">
        <v>3190</v>
      </c>
      <c r="D345" s="3162">
        <v>3140</v>
      </c>
      <c r="E345" s="3162">
        <v>3450</v>
      </c>
      <c r="F345" s="3162">
        <v>720</v>
      </c>
      <c r="G345" s="3162">
        <v>1880</v>
      </c>
      <c r="H345" s="955"/>
    </row>
    <row r="346" spans="1:21">
      <c r="A346" s="3162" t="s">
        <v>1157</v>
      </c>
      <c r="B346" s="3162" t="s">
        <v>2987</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2988</v>
      </c>
      <c r="C348" s="3162">
        <v>4000</v>
      </c>
      <c r="D348" s="3162">
        <v>3950</v>
      </c>
      <c r="E348" s="3162">
        <v>4430</v>
      </c>
      <c r="F348" s="3162">
        <v>760</v>
      </c>
      <c r="G348" s="3162">
        <v>2360</v>
      </c>
      <c r="H348" s="955"/>
    </row>
    <row r="349" spans="1:21">
      <c r="A349" s="3162" t="s">
        <v>1157</v>
      </c>
      <c r="B349" s="3162" t="s">
        <v>2989</v>
      </c>
      <c r="C349" s="3162">
        <v>3820</v>
      </c>
      <c r="D349" s="3162">
        <v>3780</v>
      </c>
      <c r="E349" s="3162">
        <v>4170</v>
      </c>
      <c r="F349" s="3162">
        <v>710</v>
      </c>
      <c r="G349" s="3162">
        <v>2260</v>
      </c>
      <c r="H349" s="955"/>
    </row>
    <row r="350" spans="1:21">
      <c r="A350" s="3162" t="s">
        <v>1157</v>
      </c>
      <c r="B350" s="3162" t="s">
        <v>2990</v>
      </c>
      <c r="C350" s="3162">
        <v>3760</v>
      </c>
      <c r="D350" s="3162">
        <v>3730</v>
      </c>
      <c r="E350" s="3162">
        <v>4100</v>
      </c>
      <c r="F350" s="3162">
        <v>800</v>
      </c>
      <c r="G350" s="3162">
        <v>2230</v>
      </c>
      <c r="H350" s="955"/>
    </row>
    <row r="351" spans="1:21">
      <c r="A351" s="3162" t="s">
        <v>1157</v>
      </c>
      <c r="B351" s="3162" t="s">
        <v>2991</v>
      </c>
      <c r="C351" s="3162">
        <v>3610</v>
      </c>
      <c r="D351" s="3162">
        <v>3580</v>
      </c>
      <c r="E351" s="3162">
        <v>3930</v>
      </c>
      <c r="F351" s="3162">
        <v>700</v>
      </c>
      <c r="G351" s="3162">
        <v>2140</v>
      </c>
      <c r="H351" s="955"/>
    </row>
    <row r="352" spans="1:21">
      <c r="A352" s="3162" t="s">
        <v>1157</v>
      </c>
      <c r="B352" s="3162" t="s">
        <v>2992</v>
      </c>
      <c r="C352" s="3162">
        <v>3670</v>
      </c>
      <c r="D352" s="3162">
        <v>3630</v>
      </c>
      <c r="E352" s="3162">
        <v>4000</v>
      </c>
      <c r="F352" s="3162">
        <v>750</v>
      </c>
      <c r="G352" s="3162">
        <v>2180</v>
      </c>
      <c r="H352" s="955"/>
    </row>
    <row r="353" spans="1:8">
      <c r="A353" s="3162" t="s">
        <v>1157</v>
      </c>
      <c r="B353" s="3162" t="s">
        <v>2993</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2994</v>
      </c>
      <c r="C355" s="3162">
        <v>3650</v>
      </c>
      <c r="D355" s="3162">
        <v>3610</v>
      </c>
      <c r="E355" s="3162">
        <v>4200</v>
      </c>
      <c r="F355" s="3162">
        <v>640</v>
      </c>
      <c r="G355" s="3162">
        <v>2160</v>
      </c>
      <c r="H355" s="955"/>
    </row>
    <row r="356" spans="1:8">
      <c r="A356" s="3162" t="s">
        <v>1157</v>
      </c>
      <c r="B356" s="3162" t="s">
        <v>2995</v>
      </c>
      <c r="C356" s="3162">
        <v>3260</v>
      </c>
      <c r="D356" s="3162">
        <v>3230</v>
      </c>
      <c r="E356" s="3162">
        <v>3740</v>
      </c>
      <c r="F356" s="3162">
        <v>600</v>
      </c>
      <c r="G356" s="3162">
        <v>1930</v>
      </c>
      <c r="H356" s="955"/>
    </row>
    <row r="357" spans="1:8" ht="14.25" thickBot="1">
      <c r="A357" s="3177" t="s">
        <v>1157</v>
      </c>
      <c r="B357" s="3177" t="s">
        <v>2996</v>
      </c>
      <c r="C357" s="3177">
        <v>3690</v>
      </c>
      <c r="D357" s="3177">
        <v>3650</v>
      </c>
      <c r="E357" s="3177">
        <v>4020</v>
      </c>
      <c r="F357" s="3177">
        <v>700</v>
      </c>
      <c r="G357" s="3177">
        <v>2190</v>
      </c>
      <c r="H357" s="955"/>
    </row>
    <row r="358" spans="1:8">
      <c r="A358" s="3178" t="s">
        <v>2754</v>
      </c>
      <c r="B358" s="3179" t="s">
        <v>2997</v>
      </c>
      <c r="C358" s="3179">
        <v>2080</v>
      </c>
      <c r="D358" s="3179">
        <v>2040</v>
      </c>
      <c r="E358" s="3179">
        <v>2010</v>
      </c>
      <c r="F358" s="3179">
        <v>530</v>
      </c>
      <c r="G358" s="3180">
        <v>1230</v>
      </c>
      <c r="H358" s="955"/>
    </row>
    <row r="359" spans="1:8">
      <c r="A359" s="3181" t="s">
        <v>2754</v>
      </c>
      <c r="B359" s="3162" t="s">
        <v>2998</v>
      </c>
      <c r="C359" s="3162">
        <v>1850</v>
      </c>
      <c r="D359" s="3162">
        <v>1820</v>
      </c>
      <c r="E359" s="3162">
        <v>1780</v>
      </c>
      <c r="F359" s="3162">
        <v>520</v>
      </c>
      <c r="G359" s="3174">
        <v>1100</v>
      </c>
      <c r="H359" s="955"/>
    </row>
    <row r="360" spans="1:8">
      <c r="A360" s="3181" t="s">
        <v>2754</v>
      </c>
      <c r="B360" s="3162" t="s">
        <v>2999</v>
      </c>
      <c r="C360" s="3162">
        <v>2020</v>
      </c>
      <c r="D360" s="3162">
        <v>1990</v>
      </c>
      <c r="E360" s="3162">
        <v>1950</v>
      </c>
      <c r="F360" s="3162">
        <v>500</v>
      </c>
      <c r="G360" s="3174">
        <v>1200</v>
      </c>
      <c r="H360" s="955"/>
    </row>
    <row r="361" spans="1:8">
      <c r="A361" s="3181" t="s">
        <v>2754</v>
      </c>
      <c r="B361" s="3162" t="s">
        <v>999</v>
      </c>
      <c r="C361" s="3162">
        <v>2260</v>
      </c>
      <c r="D361" s="3162">
        <v>2220</v>
      </c>
      <c r="E361" s="3162">
        <v>2180</v>
      </c>
      <c r="F361" s="3162">
        <v>580</v>
      </c>
      <c r="G361" s="3174">
        <v>1340</v>
      </c>
      <c r="H361" s="955"/>
    </row>
    <row r="362" spans="1:8">
      <c r="A362" s="3181" t="s">
        <v>2754</v>
      </c>
      <c r="B362" s="3162" t="s">
        <v>3000</v>
      </c>
      <c r="C362" s="3162">
        <v>2650</v>
      </c>
      <c r="D362" s="3162">
        <v>2610</v>
      </c>
      <c r="E362" s="3162">
        <v>2570</v>
      </c>
      <c r="F362" s="3162">
        <v>630</v>
      </c>
      <c r="G362" s="3174">
        <v>1570</v>
      </c>
      <c r="H362" s="955"/>
    </row>
    <row r="363" spans="1:8">
      <c r="A363" s="3181" t="s">
        <v>2754</v>
      </c>
      <c r="B363" s="3162" t="s">
        <v>3001</v>
      </c>
      <c r="C363" s="3162">
        <v>2390</v>
      </c>
      <c r="D363" s="3162">
        <v>2360</v>
      </c>
      <c r="E363" s="3162">
        <v>2320</v>
      </c>
      <c r="F363" s="3162">
        <v>600</v>
      </c>
      <c r="G363" s="3174">
        <v>1420</v>
      </c>
      <c r="H363" s="955"/>
    </row>
    <row r="364" spans="1:8">
      <c r="A364" s="3181" t="s">
        <v>2754</v>
      </c>
      <c r="B364" s="3162" t="s">
        <v>3002</v>
      </c>
      <c r="C364" s="3162">
        <v>2050</v>
      </c>
      <c r="D364" s="3162">
        <v>2030</v>
      </c>
      <c r="E364" s="3162">
        <v>1990</v>
      </c>
      <c r="F364" s="3162">
        <v>550</v>
      </c>
      <c r="G364" s="3174">
        <v>1220</v>
      </c>
      <c r="H364" s="955"/>
    </row>
    <row r="365" spans="1:8">
      <c r="A365" s="3181" t="s">
        <v>2754</v>
      </c>
      <c r="B365" s="3162" t="s">
        <v>1047</v>
      </c>
      <c r="C365" s="3162">
        <v>2140</v>
      </c>
      <c r="D365" s="3162">
        <v>2100</v>
      </c>
      <c r="E365" s="3162">
        <v>2060</v>
      </c>
      <c r="F365" s="3162">
        <v>540</v>
      </c>
      <c r="G365" s="3174">
        <v>1270</v>
      </c>
      <c r="H365" s="955"/>
    </row>
    <row r="366" spans="1:8">
      <c r="A366" s="3181" t="s">
        <v>2754</v>
      </c>
      <c r="B366" s="3162" t="s">
        <v>3003</v>
      </c>
      <c r="C366" s="3162">
        <v>2410</v>
      </c>
      <c r="D366" s="3162">
        <v>2370</v>
      </c>
      <c r="E366" s="3162">
        <v>2330</v>
      </c>
      <c r="F366" s="3162">
        <v>570</v>
      </c>
      <c r="G366" s="3174">
        <v>1440</v>
      </c>
      <c r="H366" s="955"/>
    </row>
    <row r="367" spans="1:8">
      <c r="A367" s="3181" t="s">
        <v>2754</v>
      </c>
      <c r="B367" s="3162" t="s">
        <v>3004</v>
      </c>
      <c r="C367" s="3162">
        <v>2300</v>
      </c>
      <c r="D367" s="3162">
        <v>2260</v>
      </c>
      <c r="E367" s="3162">
        <v>2220</v>
      </c>
      <c r="F367" s="3162">
        <v>560</v>
      </c>
      <c r="G367" s="3174">
        <v>1370</v>
      </c>
      <c r="H367" s="955"/>
    </row>
    <row r="368" spans="1:8">
      <c r="A368" s="3181" t="s">
        <v>2754</v>
      </c>
      <c r="B368" s="3162" t="s">
        <v>3005</v>
      </c>
      <c r="C368" s="3162">
        <v>2430</v>
      </c>
      <c r="D368" s="3162">
        <v>2390</v>
      </c>
      <c r="E368" s="3162">
        <v>2350</v>
      </c>
      <c r="F368" s="3162">
        <v>570</v>
      </c>
      <c r="G368" s="3174">
        <v>1450</v>
      </c>
      <c r="H368" s="955"/>
    </row>
    <row r="369" spans="1:8">
      <c r="A369" s="3181" t="s">
        <v>2754</v>
      </c>
      <c r="B369" s="3162" t="s">
        <v>1061</v>
      </c>
      <c r="C369" s="3162">
        <v>2320</v>
      </c>
      <c r="D369" s="3162">
        <v>2290</v>
      </c>
      <c r="E369" s="3162">
        <v>2250</v>
      </c>
      <c r="F369" s="3162">
        <v>550</v>
      </c>
      <c r="G369" s="3174">
        <v>1380</v>
      </c>
      <c r="H369" s="955"/>
    </row>
    <row r="370" spans="1:8">
      <c r="A370" s="3181" t="s">
        <v>2754</v>
      </c>
      <c r="B370" s="3162" t="s">
        <v>1069</v>
      </c>
      <c r="C370" s="3162">
        <v>2190</v>
      </c>
      <c r="D370" s="3162">
        <v>2170</v>
      </c>
      <c r="E370" s="3162">
        <v>2130</v>
      </c>
      <c r="F370" s="3162">
        <v>530</v>
      </c>
      <c r="G370" s="3174">
        <v>1310</v>
      </c>
      <c r="H370" s="955"/>
    </row>
    <row r="371" spans="1:8">
      <c r="A371" s="3181" t="s">
        <v>2754</v>
      </c>
      <c r="B371" s="3162" t="s">
        <v>1077</v>
      </c>
      <c r="C371" s="3162">
        <v>2460</v>
      </c>
      <c r="D371" s="3162">
        <v>2420</v>
      </c>
      <c r="E371" s="3162">
        <v>2370</v>
      </c>
      <c r="F371" s="3162">
        <v>560</v>
      </c>
      <c r="G371" s="3174">
        <v>1470</v>
      </c>
      <c r="H371" s="955"/>
    </row>
    <row r="372" spans="1:8">
      <c r="A372" s="3181" t="s">
        <v>2754</v>
      </c>
      <c r="B372" s="3162" t="s">
        <v>3006</v>
      </c>
      <c r="C372" s="3162">
        <v>2250</v>
      </c>
      <c r="D372" s="3162">
        <v>2210</v>
      </c>
      <c r="E372" s="3162">
        <v>2180</v>
      </c>
      <c r="F372" s="3162">
        <v>550</v>
      </c>
      <c r="G372" s="3174">
        <v>1340</v>
      </c>
      <c r="H372" s="955"/>
    </row>
    <row r="373" spans="1:8">
      <c r="A373" s="3181" t="s">
        <v>2754</v>
      </c>
      <c r="B373" s="3162" t="s">
        <v>1106</v>
      </c>
      <c r="C373" s="3162">
        <v>2210</v>
      </c>
      <c r="D373" s="3162">
        <v>2190</v>
      </c>
      <c r="E373" s="3162">
        <v>2150</v>
      </c>
      <c r="F373" s="3162">
        <v>530</v>
      </c>
      <c r="G373" s="3174">
        <v>1320</v>
      </c>
      <c r="H373" s="955"/>
    </row>
    <row r="374" spans="1:8">
      <c r="A374" s="3181" t="s">
        <v>2754</v>
      </c>
      <c r="B374" s="3162" t="s">
        <v>1114</v>
      </c>
      <c r="C374" s="3162">
        <v>2320</v>
      </c>
      <c r="D374" s="3162">
        <v>2280</v>
      </c>
      <c r="E374" s="3162">
        <v>2230</v>
      </c>
      <c r="F374" s="3162">
        <v>580</v>
      </c>
      <c r="G374" s="3174">
        <v>1380</v>
      </c>
      <c r="H374" s="955"/>
    </row>
    <row r="375" spans="1:8">
      <c r="A375" s="3181" t="s">
        <v>2754</v>
      </c>
      <c r="B375" s="3162" t="s">
        <v>3007</v>
      </c>
      <c r="C375" s="3162">
        <v>2090</v>
      </c>
      <c r="D375" s="3162">
        <v>2050</v>
      </c>
      <c r="E375" s="3162">
        <v>2020</v>
      </c>
      <c r="F375" s="3162">
        <v>520</v>
      </c>
      <c r="G375" s="3174">
        <v>1240</v>
      </c>
      <c r="H375" s="955"/>
    </row>
    <row r="376" spans="1:8">
      <c r="A376" s="3181" t="s">
        <v>2754</v>
      </c>
      <c r="B376" s="3162" t="s">
        <v>1126</v>
      </c>
      <c r="C376" s="3162">
        <v>2010</v>
      </c>
      <c r="D376" s="3162">
        <v>1980</v>
      </c>
      <c r="E376" s="3162">
        <v>1940</v>
      </c>
      <c r="F376" s="3162">
        <v>540</v>
      </c>
      <c r="G376" s="3174">
        <v>1190</v>
      </c>
      <c r="H376" s="955"/>
    </row>
    <row r="377" spans="1:8" ht="14.25" thickBot="1">
      <c r="A377" s="3183" t="s">
        <v>2754</v>
      </c>
      <c r="B377" s="3177" t="s">
        <v>3008</v>
      </c>
      <c r="C377" s="3177">
        <v>1930</v>
      </c>
      <c r="D377" s="3177">
        <v>1890</v>
      </c>
      <c r="E377" s="3177">
        <v>1860</v>
      </c>
      <c r="F377" s="3177">
        <v>530</v>
      </c>
      <c r="G377" s="3184">
        <v>1150</v>
      </c>
      <c r="H377" s="955"/>
    </row>
    <row r="378" spans="1:8">
      <c r="A378" s="3178" t="s">
        <v>2755</v>
      </c>
      <c r="B378" s="3179" t="s">
        <v>3009</v>
      </c>
      <c r="C378" s="3179">
        <v>1520</v>
      </c>
      <c r="D378" s="3179">
        <v>1490</v>
      </c>
      <c r="E378" s="3179">
        <v>1460</v>
      </c>
      <c r="F378" s="3179">
        <v>460</v>
      </c>
      <c r="G378" s="3180">
        <v>940</v>
      </c>
      <c r="H378" s="955"/>
    </row>
    <row r="379" spans="1:8">
      <c r="A379" s="3181" t="s">
        <v>2755</v>
      </c>
      <c r="B379" s="3162" t="s">
        <v>3010</v>
      </c>
      <c r="C379" s="3162">
        <v>1500</v>
      </c>
      <c r="D379" s="3162">
        <v>1470</v>
      </c>
      <c r="E379" s="3162">
        <v>1430</v>
      </c>
      <c r="F379" s="3162">
        <v>460</v>
      </c>
      <c r="G379" s="3174">
        <v>920</v>
      </c>
      <c r="H379" s="955"/>
    </row>
    <row r="380" spans="1:8">
      <c r="A380" s="3181" t="s">
        <v>2755</v>
      </c>
      <c r="B380" s="3162" t="s">
        <v>3011</v>
      </c>
      <c r="C380" s="3162">
        <v>1620</v>
      </c>
      <c r="D380" s="3162">
        <v>1590</v>
      </c>
      <c r="E380" s="3162">
        <v>1560</v>
      </c>
      <c r="F380" s="3162">
        <v>480</v>
      </c>
      <c r="G380" s="3174">
        <v>1000</v>
      </c>
      <c r="H380" s="955"/>
    </row>
    <row r="381" spans="1:8">
      <c r="A381" s="3181" t="s">
        <v>2755</v>
      </c>
      <c r="B381" s="3162" t="s">
        <v>3012</v>
      </c>
      <c r="C381" s="3162">
        <v>1460</v>
      </c>
      <c r="D381" s="3162">
        <v>1430</v>
      </c>
      <c r="E381" s="3162">
        <v>1390</v>
      </c>
      <c r="F381" s="3162">
        <v>450</v>
      </c>
      <c r="G381" s="3174">
        <v>900</v>
      </c>
      <c r="H381" s="955"/>
    </row>
    <row r="382" spans="1:8">
      <c r="A382" s="3181" t="s">
        <v>2755</v>
      </c>
      <c r="B382" s="3162" t="s">
        <v>3013</v>
      </c>
      <c r="C382" s="3162">
        <v>1310</v>
      </c>
      <c r="D382" s="3162">
        <v>1280</v>
      </c>
      <c r="E382" s="3162">
        <v>1250</v>
      </c>
      <c r="F382" s="3162">
        <v>440</v>
      </c>
      <c r="G382" s="3174">
        <v>800</v>
      </c>
      <c r="H382" s="955"/>
    </row>
    <row r="383" spans="1:8">
      <c r="A383" s="3181" t="s">
        <v>2755</v>
      </c>
      <c r="B383" s="3162" t="s">
        <v>3014</v>
      </c>
      <c r="C383" s="3162">
        <v>1260</v>
      </c>
      <c r="D383" s="3162">
        <v>1230</v>
      </c>
      <c r="E383" s="3162">
        <v>1200</v>
      </c>
      <c r="F383" s="3162">
        <v>420</v>
      </c>
      <c r="G383" s="3174">
        <v>770</v>
      </c>
      <c r="H383" s="955"/>
    </row>
    <row r="384" spans="1:8" ht="14.25" thickBot="1">
      <c r="A384" s="3182" t="s">
        <v>2755</v>
      </c>
      <c r="B384" s="3176" t="s">
        <v>3015</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800" t="s">
        <v>3178</v>
      </c>
      <c r="B1" s="3800"/>
      <c r="C1" s="3800"/>
      <c r="D1" s="3800"/>
      <c r="E1" s="3800"/>
      <c r="F1" s="3801"/>
    </row>
    <row r="2" spans="1:6">
      <c r="A2" s="3227" t="s">
        <v>3179</v>
      </c>
      <c r="B2" s="1488"/>
      <c r="C2" s="1488"/>
      <c r="D2" s="1488"/>
      <c r="E2" s="1488"/>
      <c r="F2" s="1488"/>
    </row>
    <row r="3" spans="1:6">
      <c r="A3" s="3227" t="s">
        <v>3180</v>
      </c>
      <c r="B3" s="1488"/>
      <c r="C3" s="1488"/>
      <c r="D3" s="1488"/>
      <c r="E3" s="1488"/>
      <c r="F3" s="3228" t="s">
        <v>3181</v>
      </c>
    </row>
    <row r="4" spans="1:6">
      <c r="A4" s="3229" t="s">
        <v>3176</v>
      </c>
      <c r="B4" s="3229" t="s">
        <v>2730</v>
      </c>
      <c r="C4" s="3229" t="s">
        <v>1212</v>
      </c>
      <c r="D4" s="3229" t="s">
        <v>3177</v>
      </c>
      <c r="E4" s="3229" t="s">
        <v>905</v>
      </c>
      <c r="F4" s="3229" t="s">
        <v>3182</v>
      </c>
    </row>
    <row r="5" spans="1:6">
      <c r="A5" s="3230" t="s">
        <v>2753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2754</v>
      </c>
      <c r="B16" s="3232">
        <v>2230</v>
      </c>
      <c r="C16" s="3232">
        <v>2200</v>
      </c>
      <c r="D16" s="3232">
        <v>2180</v>
      </c>
      <c r="E16" s="3232">
        <v>570</v>
      </c>
      <c r="F16" s="3232">
        <v>1330</v>
      </c>
    </row>
    <row r="17" spans="1:6">
      <c r="A17" s="3230" t="s">
        <v>2755</v>
      </c>
      <c r="B17" s="3232">
        <v>1390</v>
      </c>
      <c r="C17" s="3232">
        <v>1360</v>
      </c>
      <c r="D17" s="3232">
        <v>1340</v>
      </c>
      <c r="E17" s="3232">
        <v>450</v>
      </c>
      <c r="F17" s="3232">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SUMPRODUCT((A95:A184=ROUNDDOWN([10]基准地价修正!G3,1))*(B94:M94=[10]基准地价修正!G2)*(B95:M184))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SUMPRODUCT((A371:A460=ROUNDDOWN([10]基准地价修正!G3,1))*(B370:M370=[10]基准地价修正!G2)*(B371:M460))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802" t="s">
        <v>3016</v>
      </c>
      <c r="B1" s="3802"/>
    </row>
    <row r="2" spans="1:7" ht="14.25" thickBot="1">
      <c r="A2" s="3193"/>
      <c r="B2" s="3193"/>
    </row>
    <row r="3" spans="1:7" ht="14.25" thickBot="1">
      <c r="A3" s="3193"/>
      <c r="B3" s="3193"/>
      <c r="C3" s="3194" t="s">
        <v>3017</v>
      </c>
      <c r="D3" s="3194" t="s">
        <v>3018</v>
      </c>
      <c r="E3" s="3194" t="s">
        <v>3019</v>
      </c>
      <c r="F3" s="3194" t="s">
        <v>3020</v>
      </c>
      <c r="G3" s="3194" t="s">
        <v>3021</v>
      </c>
    </row>
    <row r="4" spans="1:7" ht="14.25" thickBot="1">
      <c r="A4" s="3195" t="s">
        <v>3022</v>
      </c>
      <c r="B4" s="3196" t="s">
        <v>3023</v>
      </c>
      <c r="C4" s="3194"/>
      <c r="D4" s="3194"/>
      <c r="E4" s="3194"/>
      <c r="F4" s="3194"/>
      <c r="G4" s="3194"/>
    </row>
    <row r="5" spans="1:7">
      <c r="A5" s="3197" t="s">
        <v>3024</v>
      </c>
      <c r="B5" s="3198" t="s">
        <v>3025</v>
      </c>
      <c r="C5" s="3199">
        <v>9.8000000000000004E-2</v>
      </c>
      <c r="D5" s="3199">
        <v>8.6999999999999994E-2</v>
      </c>
      <c r="E5" s="3199">
        <v>8.6999999999999994E-2</v>
      </c>
      <c r="F5" s="3199">
        <v>9.8000000000000004E-2</v>
      </c>
      <c r="G5" s="3200">
        <v>9.5000000000000001E-2</v>
      </c>
    </row>
    <row r="6" spans="1:7">
      <c r="A6" s="3201" t="s">
        <v>990</v>
      </c>
      <c r="B6" s="3202" t="s">
        <v>3026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3027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3028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2814</v>
      </c>
      <c r="C29" s="3211"/>
      <c r="D29" s="3207">
        <v>5.1999999999999998E-2</v>
      </c>
      <c r="E29" s="3207">
        <v>7.0000000000000007E-2</v>
      </c>
      <c r="F29" s="3211"/>
      <c r="G29" s="3209">
        <v>7.0999999999999994E-2</v>
      </c>
    </row>
    <row r="30" spans="1:7">
      <c r="A30" s="3212" t="s">
        <v>1145</v>
      </c>
      <c r="B30" s="3198" t="s">
        <v>3029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2816</v>
      </c>
      <c r="C50" s="3203">
        <v>9.8000000000000004E-2</v>
      </c>
      <c r="D50" s="3203">
        <v>7.2999999999999995E-2</v>
      </c>
      <c r="E50" s="3203">
        <v>7.0999999999999994E-2</v>
      </c>
      <c r="F50" s="3214"/>
      <c r="G50" s="3204">
        <v>7.2999999999999995E-2</v>
      </c>
    </row>
    <row r="51" spans="1:7">
      <c r="A51" s="3213" t="s">
        <v>1145</v>
      </c>
      <c r="B51" s="3202" t="s">
        <v>2817</v>
      </c>
      <c r="C51" s="3203">
        <v>9.9000000000000005E-2</v>
      </c>
      <c r="D51" s="3203">
        <v>8.5000000000000006E-2</v>
      </c>
      <c r="E51" s="3203">
        <v>6.3E-2</v>
      </c>
      <c r="F51" s="3214"/>
      <c r="G51" s="3204">
        <v>9.6000000000000002E-2</v>
      </c>
    </row>
    <row r="52" spans="1:7">
      <c r="A52" s="3213" t="s">
        <v>1145</v>
      </c>
      <c r="B52" s="3202" t="s">
        <v>2818</v>
      </c>
      <c r="C52" s="3203">
        <v>7.3999999999999996E-2</v>
      </c>
      <c r="D52" s="3203">
        <v>9.6000000000000002E-2</v>
      </c>
      <c r="E52" s="3203">
        <v>0.05</v>
      </c>
      <c r="F52" s="3214"/>
      <c r="G52" s="3204">
        <v>9.8000000000000004E-2</v>
      </c>
    </row>
    <row r="53" spans="1:7">
      <c r="A53" s="3213" t="s">
        <v>1145</v>
      </c>
      <c r="B53" s="3202" t="s">
        <v>2819</v>
      </c>
      <c r="C53" s="3203">
        <v>8.5999999999999993E-2</v>
      </c>
      <c r="D53" s="3214"/>
      <c r="E53" s="3203">
        <v>9.1999999999999998E-2</v>
      </c>
      <c r="F53" s="3214"/>
      <c r="G53" s="3215"/>
    </row>
    <row r="54" spans="1:7" ht="14.25" thickBot="1">
      <c r="A54" s="3216" t="s">
        <v>1145</v>
      </c>
      <c r="B54" s="3206" t="s">
        <v>2820</v>
      </c>
      <c r="C54" s="3207">
        <v>9.6000000000000002E-2</v>
      </c>
      <c r="D54" s="3208"/>
      <c r="E54" s="3217"/>
      <c r="F54" s="3208"/>
      <c r="G54" s="3218"/>
    </row>
    <row r="55" spans="1:7">
      <c r="A55" s="3212" t="s">
        <v>853</v>
      </c>
      <c r="B55" s="3198" t="s">
        <v>3031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2822</v>
      </c>
      <c r="C78" s="3203">
        <v>0.1</v>
      </c>
      <c r="D78" s="3203">
        <v>8.5000000000000006E-2</v>
      </c>
      <c r="E78" s="3203">
        <v>9.6000000000000002E-2</v>
      </c>
      <c r="F78" s="3214"/>
      <c r="G78" s="3204">
        <v>9.6000000000000002E-2</v>
      </c>
    </row>
    <row r="79" spans="1:7">
      <c r="A79" s="3213" t="s">
        <v>853</v>
      </c>
      <c r="B79" s="3202" t="s">
        <v>2823</v>
      </c>
      <c r="C79" s="3203">
        <v>0.05</v>
      </c>
      <c r="D79" s="3203">
        <v>9.6000000000000002E-2</v>
      </c>
      <c r="E79" s="3203">
        <v>9.5000000000000001E-2</v>
      </c>
      <c r="F79" s="3214"/>
      <c r="G79" s="3204">
        <v>9.8000000000000004E-2</v>
      </c>
    </row>
    <row r="80" spans="1:7">
      <c r="A80" s="3213" t="s">
        <v>853</v>
      </c>
      <c r="B80" s="3202" t="s">
        <v>2824</v>
      </c>
      <c r="C80" s="3203">
        <v>8.5999999999999993E-2</v>
      </c>
      <c r="D80" s="3219"/>
      <c r="E80" s="3203">
        <v>0.1</v>
      </c>
      <c r="F80" s="3214"/>
      <c r="G80" s="3215"/>
    </row>
    <row r="81" spans="1:7">
      <c r="A81" s="3213" t="s">
        <v>853</v>
      </c>
      <c r="B81" s="3202" t="s">
        <v>2825</v>
      </c>
      <c r="C81" s="3203">
        <v>9.6000000000000002E-2</v>
      </c>
      <c r="D81" s="3214"/>
      <c r="E81" s="3203">
        <v>9.8000000000000004E-2</v>
      </c>
      <c r="F81" s="3214"/>
      <c r="G81" s="3215"/>
    </row>
    <row r="82" spans="1:7">
      <c r="A82" s="3213" t="s">
        <v>853</v>
      </c>
      <c r="B82" s="3202" t="s">
        <v>2826</v>
      </c>
      <c r="C82" s="3219"/>
      <c r="D82" s="3214"/>
      <c r="E82" s="3203">
        <v>7.6999999999999999E-2</v>
      </c>
      <c r="F82" s="3214"/>
      <c r="G82" s="3215"/>
    </row>
    <row r="83" spans="1:7">
      <c r="A83" s="3213" t="s">
        <v>853</v>
      </c>
      <c r="B83" s="3202" t="s">
        <v>3032</v>
      </c>
      <c r="C83" s="3214"/>
      <c r="D83" s="3214"/>
      <c r="E83" s="3214"/>
      <c r="F83" s="3203">
        <v>0.1</v>
      </c>
      <c r="G83" s="3220"/>
    </row>
    <row r="84" spans="1:7">
      <c r="A84" s="3213" t="s">
        <v>853</v>
      </c>
      <c r="B84" s="3202" t="s">
        <v>3033</v>
      </c>
      <c r="C84" s="3214"/>
      <c r="D84" s="3214"/>
      <c r="E84" s="3214"/>
      <c r="F84" s="3203">
        <v>0.1</v>
      </c>
      <c r="G84" s="3220"/>
    </row>
    <row r="85" spans="1:7">
      <c r="A85" s="3213" t="s">
        <v>853</v>
      </c>
      <c r="B85" s="3202" t="s">
        <v>3034</v>
      </c>
      <c r="C85" s="3214"/>
      <c r="D85" s="3214"/>
      <c r="E85" s="3214"/>
      <c r="F85" s="3203">
        <v>0.1</v>
      </c>
      <c r="G85" s="3220"/>
    </row>
    <row r="86" spans="1:7" ht="14.25" thickBot="1">
      <c r="A86" s="3216" t="s">
        <v>853</v>
      </c>
      <c r="B86" s="3206" t="s">
        <v>3035</v>
      </c>
      <c r="C86" s="3207">
        <v>9.8000000000000004E-2</v>
      </c>
      <c r="D86" s="3207">
        <v>9.8000000000000004E-2</v>
      </c>
      <c r="E86" s="3207">
        <v>9.6000000000000002E-2</v>
      </c>
      <c r="F86" s="3217"/>
      <c r="G86" s="3209">
        <v>0.1</v>
      </c>
    </row>
    <row r="87" spans="1:7">
      <c r="A87" s="3212" t="s">
        <v>1152</v>
      </c>
      <c r="B87" s="3198" t="s">
        <v>3036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2832</v>
      </c>
      <c r="C113" s="3203">
        <v>0.1</v>
      </c>
      <c r="D113" s="3203">
        <v>0.1</v>
      </c>
      <c r="E113" s="3214"/>
      <c r="F113" s="3214"/>
      <c r="G113" s="3204">
        <v>0.1</v>
      </c>
    </row>
    <row r="114" spans="1:7">
      <c r="A114" s="3213" t="s">
        <v>1152</v>
      </c>
      <c r="B114" s="3202" t="s">
        <v>2833</v>
      </c>
      <c r="C114" s="3203">
        <v>9.7000000000000003E-2</v>
      </c>
      <c r="D114" s="3203">
        <v>9.7000000000000003E-2</v>
      </c>
      <c r="E114" s="3214"/>
      <c r="F114" s="3214"/>
      <c r="G114" s="3204">
        <v>9.9000000000000005E-2</v>
      </c>
    </row>
    <row r="115" spans="1:7">
      <c r="A115" s="3213" t="s">
        <v>1152</v>
      </c>
      <c r="B115" s="3202" t="s">
        <v>2834</v>
      </c>
      <c r="C115" s="3203">
        <v>0.1</v>
      </c>
      <c r="D115" s="3203">
        <v>0.1</v>
      </c>
      <c r="E115" s="3214"/>
      <c r="F115" s="3214"/>
      <c r="G115" s="3204">
        <v>0.1</v>
      </c>
    </row>
    <row r="116" spans="1:7">
      <c r="A116" s="3213" t="s">
        <v>1152</v>
      </c>
      <c r="B116" s="3202" t="s">
        <v>2835</v>
      </c>
      <c r="C116" s="3203">
        <v>0.1</v>
      </c>
      <c r="D116" s="3203">
        <v>0.1</v>
      </c>
      <c r="E116" s="3214"/>
      <c r="F116" s="3214"/>
      <c r="G116" s="3204">
        <v>0.1</v>
      </c>
    </row>
    <row r="117" spans="1:7">
      <c r="A117" s="3213" t="s">
        <v>1152</v>
      </c>
      <c r="B117" s="3202" t="s">
        <v>2836</v>
      </c>
      <c r="C117" s="3203">
        <v>9.7000000000000003E-2</v>
      </c>
      <c r="D117" s="3203">
        <v>9.7000000000000003E-2</v>
      </c>
      <c r="E117" s="3214"/>
      <c r="F117" s="3214"/>
      <c r="G117" s="3204">
        <v>9.7000000000000003E-2</v>
      </c>
    </row>
    <row r="118" spans="1:7">
      <c r="A118" s="3213" t="s">
        <v>1152</v>
      </c>
      <c r="B118" s="3202" t="s">
        <v>2837</v>
      </c>
      <c r="C118" s="3203">
        <v>0.1</v>
      </c>
      <c r="D118" s="3203">
        <v>0.1</v>
      </c>
      <c r="E118" s="3214"/>
      <c r="F118" s="3214"/>
      <c r="G118" s="3204">
        <v>0.1</v>
      </c>
    </row>
    <row r="119" spans="1:7">
      <c r="A119" s="3213" t="s">
        <v>1152</v>
      </c>
      <c r="B119" s="3202" t="s">
        <v>2838</v>
      </c>
      <c r="C119" s="3203">
        <v>5.0999999999999997E-2</v>
      </c>
      <c r="D119" s="3203">
        <v>5.1999999999999998E-2</v>
      </c>
      <c r="E119" s="3214"/>
      <c r="F119" s="3219"/>
      <c r="G119" s="3204">
        <v>0.06</v>
      </c>
    </row>
    <row r="120" spans="1:7">
      <c r="A120" s="3213" t="s">
        <v>1152</v>
      </c>
      <c r="B120" s="3202" t="s">
        <v>3037</v>
      </c>
      <c r="C120" s="3214"/>
      <c r="D120" s="3214"/>
      <c r="E120" s="3214"/>
      <c r="F120" s="3203">
        <v>0.1</v>
      </c>
      <c r="G120" s="3220"/>
    </row>
    <row r="121" spans="1:7">
      <c r="A121" s="3213" t="s">
        <v>1152</v>
      </c>
      <c r="B121" s="3202" t="s">
        <v>3038</v>
      </c>
      <c r="C121" s="3214"/>
      <c r="D121" s="3214"/>
      <c r="E121" s="3214"/>
      <c r="F121" s="3203">
        <v>0.1</v>
      </c>
      <c r="G121" s="3220"/>
    </row>
    <row r="122" spans="1:7">
      <c r="A122" s="3213" t="s">
        <v>1152</v>
      </c>
      <c r="B122" s="3202" t="s">
        <v>3039</v>
      </c>
      <c r="C122" s="3203">
        <v>0.1</v>
      </c>
      <c r="D122" s="3203">
        <v>0.1</v>
      </c>
      <c r="E122" s="3203">
        <v>9.8000000000000004E-2</v>
      </c>
      <c r="F122" s="3203">
        <v>0.1</v>
      </c>
      <c r="G122" s="3204">
        <v>0.1</v>
      </c>
    </row>
    <row r="123" spans="1:7">
      <c r="A123" s="3213" t="s">
        <v>1152</v>
      </c>
      <c r="B123" s="3202" t="s">
        <v>2842</v>
      </c>
      <c r="C123" s="3203">
        <v>0.1</v>
      </c>
      <c r="D123" s="3203">
        <v>0.1</v>
      </c>
      <c r="E123" s="3203">
        <v>9.8000000000000004E-2</v>
      </c>
      <c r="F123" s="3203">
        <v>0.1</v>
      </c>
      <c r="G123" s="3204">
        <v>0.1</v>
      </c>
    </row>
    <row r="124" spans="1:7">
      <c r="A124" s="3213" t="s">
        <v>1152</v>
      </c>
      <c r="B124" s="3202" t="s">
        <v>2843</v>
      </c>
      <c r="C124" s="3203">
        <v>0.1</v>
      </c>
      <c r="D124" s="3203">
        <v>0.1</v>
      </c>
      <c r="E124" s="3203">
        <v>9.8000000000000004E-2</v>
      </c>
      <c r="F124" s="3219"/>
      <c r="G124" s="3204">
        <v>0.1</v>
      </c>
    </row>
    <row r="125" spans="1:7">
      <c r="A125" s="3213" t="s">
        <v>1152</v>
      </c>
      <c r="B125" s="3202" t="s">
        <v>2844</v>
      </c>
      <c r="C125" s="3203">
        <v>9.8000000000000004E-2</v>
      </c>
      <c r="D125" s="3203">
        <v>9.8000000000000004E-2</v>
      </c>
      <c r="E125" s="3203">
        <v>9.6000000000000002E-2</v>
      </c>
      <c r="F125" s="3219"/>
      <c r="G125" s="3204">
        <v>0.1</v>
      </c>
    </row>
    <row r="126" spans="1:7" ht="14.25" thickBot="1">
      <c r="A126" s="3216" t="s">
        <v>1152</v>
      </c>
      <c r="B126" s="3206" t="s">
        <v>3040</v>
      </c>
      <c r="C126" s="3207">
        <v>0.1</v>
      </c>
      <c r="D126" s="3207">
        <v>0.1</v>
      </c>
      <c r="E126" s="3207">
        <v>9.8000000000000004E-2</v>
      </c>
      <c r="F126" s="3207">
        <v>0.1</v>
      </c>
      <c r="G126" s="3209">
        <v>0.1</v>
      </c>
    </row>
    <row r="127" spans="1:7">
      <c r="A127" s="3212" t="s">
        <v>1153</v>
      </c>
      <c r="B127" s="3198" t="s">
        <v>3041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3042</v>
      </c>
      <c r="C148" s="3203">
        <v>0.13</v>
      </c>
      <c r="D148" s="3203">
        <v>0.13</v>
      </c>
      <c r="E148" s="3203">
        <v>0.13</v>
      </c>
      <c r="F148" s="3214"/>
      <c r="G148" s="3204">
        <v>0.13</v>
      </c>
    </row>
    <row r="149" spans="1:7">
      <c r="A149" s="3213" t="s">
        <v>1153</v>
      </c>
      <c r="B149" s="3202" t="s">
        <v>3043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2849</v>
      </c>
      <c r="C153" s="3203">
        <v>0.13</v>
      </c>
      <c r="D153" s="3203">
        <v>0.13</v>
      </c>
      <c r="E153" s="3203">
        <v>0.13</v>
      </c>
      <c r="F153" s="3203">
        <v>0.13</v>
      </c>
      <c r="G153" s="3204">
        <v>0.13</v>
      </c>
    </row>
    <row r="154" spans="1:7">
      <c r="A154" s="3213" t="s">
        <v>1153</v>
      </c>
      <c r="B154" s="3202" t="s">
        <v>3044</v>
      </c>
      <c r="C154" s="3203">
        <v>0.121</v>
      </c>
      <c r="D154" s="3203">
        <v>0.121</v>
      </c>
      <c r="E154" s="3203">
        <v>0.105</v>
      </c>
      <c r="F154" s="3203">
        <v>0.121</v>
      </c>
      <c r="G154" s="3204">
        <v>0.123</v>
      </c>
    </row>
    <row r="155" spans="1:7">
      <c r="A155" s="3213" t="s">
        <v>1153</v>
      </c>
      <c r="B155" s="3202" t="s">
        <v>2851</v>
      </c>
      <c r="C155" s="3203">
        <v>0.1</v>
      </c>
      <c r="D155" s="3203">
        <v>0.1</v>
      </c>
      <c r="E155" s="3203">
        <v>0.1</v>
      </c>
      <c r="F155" s="3203">
        <v>0.1</v>
      </c>
      <c r="G155" s="3204">
        <v>0.1</v>
      </c>
    </row>
    <row r="156" spans="1:7">
      <c r="A156" s="3213" t="s">
        <v>1153</v>
      </c>
      <c r="B156" s="3202" t="s">
        <v>3045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3046</v>
      </c>
      <c r="C160" s="3203">
        <v>0.13</v>
      </c>
      <c r="D160" s="3203">
        <v>0.13</v>
      </c>
      <c r="E160" s="3203">
        <v>0.124</v>
      </c>
      <c r="F160" s="3203">
        <v>0.126</v>
      </c>
      <c r="G160" s="3204">
        <v>0.13</v>
      </c>
    </row>
    <row r="161" spans="1:7">
      <c r="A161" s="3213" t="s">
        <v>1153</v>
      </c>
      <c r="B161" s="3202" t="s">
        <v>2854</v>
      </c>
      <c r="C161" s="3203">
        <v>0.13</v>
      </c>
      <c r="D161" s="3203">
        <v>0.13</v>
      </c>
      <c r="E161" s="3203">
        <v>0.124</v>
      </c>
      <c r="F161" s="3203">
        <v>0.127</v>
      </c>
      <c r="G161" s="3204">
        <v>0.13</v>
      </c>
    </row>
    <row r="162" spans="1:7">
      <c r="A162" s="3213" t="s">
        <v>1153</v>
      </c>
      <c r="B162" s="3202" t="s">
        <v>2855</v>
      </c>
      <c r="C162" s="3203">
        <v>0.1</v>
      </c>
      <c r="D162" s="3203">
        <v>0.1</v>
      </c>
      <c r="E162" s="3203">
        <v>0.1</v>
      </c>
      <c r="F162" s="3203">
        <v>0.121</v>
      </c>
      <c r="G162" s="3204">
        <v>0.105</v>
      </c>
    </row>
    <row r="163" spans="1:7">
      <c r="A163" s="3213" t="s">
        <v>1153</v>
      </c>
      <c r="B163" s="3202" t="s">
        <v>2856</v>
      </c>
      <c r="C163" s="3203">
        <v>0.1</v>
      </c>
      <c r="D163" s="3203">
        <v>0.1</v>
      </c>
      <c r="E163" s="3203">
        <v>0.1</v>
      </c>
      <c r="F163" s="3203">
        <v>0.1</v>
      </c>
      <c r="G163" s="3204">
        <v>0.1</v>
      </c>
    </row>
    <row r="164" spans="1:7">
      <c r="A164" s="3213" t="s">
        <v>1153</v>
      </c>
      <c r="B164" s="3202" t="s">
        <v>2857</v>
      </c>
      <c r="C164" s="3219"/>
      <c r="D164" s="3219"/>
      <c r="E164" s="3219"/>
      <c r="F164" s="3203">
        <v>0.1</v>
      </c>
      <c r="G164" s="3215"/>
    </row>
    <row r="165" spans="1:7">
      <c r="A165" s="3213" t="s">
        <v>1153</v>
      </c>
      <c r="B165" s="3202" t="s">
        <v>3047</v>
      </c>
      <c r="C165" s="3203">
        <v>0.126</v>
      </c>
      <c r="D165" s="3203">
        <v>0.126</v>
      </c>
      <c r="E165" s="3203">
        <v>0.11899999999999999</v>
      </c>
      <c r="F165" s="3203">
        <v>0.13</v>
      </c>
      <c r="G165" s="3204">
        <v>0.128</v>
      </c>
    </row>
    <row r="166" spans="1:7">
      <c r="A166" s="3213" t="s">
        <v>1153</v>
      </c>
      <c r="B166" s="3202" t="s">
        <v>2859</v>
      </c>
      <c r="C166" s="3203">
        <v>0.129</v>
      </c>
      <c r="D166" s="3203">
        <v>0.129</v>
      </c>
      <c r="E166" s="3203">
        <v>0.123</v>
      </c>
      <c r="F166" s="3203">
        <v>0.128</v>
      </c>
      <c r="G166" s="3204">
        <v>0.13</v>
      </c>
    </row>
    <row r="167" spans="1:7">
      <c r="A167" s="3213" t="s">
        <v>1153</v>
      </c>
      <c r="B167" s="3202" t="s">
        <v>2860</v>
      </c>
      <c r="C167" s="3203">
        <v>0.125</v>
      </c>
      <c r="D167" s="3203">
        <v>0.125</v>
      </c>
      <c r="E167" s="3203">
        <v>0.11700000000000001</v>
      </c>
      <c r="F167" s="3203">
        <v>0.13</v>
      </c>
      <c r="G167" s="3204">
        <v>0.126</v>
      </c>
    </row>
    <row r="168" spans="1:7">
      <c r="A168" s="3213" t="s">
        <v>1153</v>
      </c>
      <c r="B168" s="3202" t="s">
        <v>2861</v>
      </c>
      <c r="C168" s="3203">
        <v>0.128</v>
      </c>
      <c r="D168" s="3203">
        <v>0.128</v>
      </c>
      <c r="E168" s="3203">
        <v>0.123</v>
      </c>
      <c r="F168" s="3214"/>
      <c r="G168" s="3204">
        <v>0.13</v>
      </c>
    </row>
    <row r="169" spans="1:7">
      <c r="A169" s="3213" t="s">
        <v>1153</v>
      </c>
      <c r="B169" s="3202" t="s">
        <v>3048</v>
      </c>
      <c r="C169" s="3219"/>
      <c r="D169" s="3219"/>
      <c r="E169" s="3219"/>
      <c r="F169" s="3203">
        <v>0.05</v>
      </c>
      <c r="G169" s="3215"/>
    </row>
    <row r="170" spans="1:7">
      <c r="A170" s="3213" t="s">
        <v>1153</v>
      </c>
      <c r="B170" s="3202" t="s">
        <v>3049</v>
      </c>
      <c r="C170" s="3219"/>
      <c r="D170" s="3219"/>
      <c r="E170" s="3219"/>
      <c r="F170" s="3203">
        <v>0.05</v>
      </c>
      <c r="G170" s="3215"/>
    </row>
    <row r="171" spans="1:7">
      <c r="A171" s="3213" t="s">
        <v>1153</v>
      </c>
      <c r="B171" s="3202" t="s">
        <v>3050</v>
      </c>
      <c r="C171" s="3219"/>
      <c r="D171" s="3219"/>
      <c r="E171" s="3219"/>
      <c r="F171" s="3203">
        <v>0.05</v>
      </c>
      <c r="G171" s="3220"/>
    </row>
    <row r="172" spans="1:7">
      <c r="A172" s="3213" t="s">
        <v>1153</v>
      </c>
      <c r="B172" s="3202" t="s">
        <v>3051</v>
      </c>
      <c r="C172" s="3219"/>
      <c r="D172" s="3219"/>
      <c r="E172" s="3219"/>
      <c r="F172" s="3203">
        <v>0.05</v>
      </c>
      <c r="G172" s="3220"/>
    </row>
    <row r="173" spans="1:7">
      <c r="A173" s="3213" t="s">
        <v>1153</v>
      </c>
      <c r="B173" s="3202" t="s">
        <v>3052</v>
      </c>
      <c r="C173" s="3219"/>
      <c r="D173" s="3219"/>
      <c r="E173" s="3219"/>
      <c r="F173" s="3203">
        <v>0.05</v>
      </c>
      <c r="G173" s="3215"/>
    </row>
    <row r="174" spans="1:7">
      <c r="A174" s="3213" t="s">
        <v>1153</v>
      </c>
      <c r="B174" s="3202" t="s">
        <v>3053</v>
      </c>
      <c r="C174" s="3219"/>
      <c r="D174" s="3219"/>
      <c r="E174" s="3219"/>
      <c r="F174" s="3203">
        <v>0.05</v>
      </c>
      <c r="G174" s="3215"/>
    </row>
    <row r="175" spans="1:7">
      <c r="A175" s="3213" t="s">
        <v>1153</v>
      </c>
      <c r="B175" s="3202" t="s">
        <v>3054</v>
      </c>
      <c r="C175" s="3219"/>
      <c r="D175" s="3219"/>
      <c r="E175" s="3219"/>
      <c r="F175" s="3203">
        <v>0.05</v>
      </c>
      <c r="G175" s="3215"/>
    </row>
    <row r="176" spans="1:7">
      <c r="A176" s="3213" t="s">
        <v>1153</v>
      </c>
      <c r="B176" s="3202" t="s">
        <v>3055</v>
      </c>
      <c r="C176" s="3219"/>
      <c r="D176" s="3219"/>
      <c r="E176" s="3219"/>
      <c r="F176" s="3203">
        <v>0.05</v>
      </c>
      <c r="G176" s="3215"/>
    </row>
    <row r="177" spans="1:7">
      <c r="A177" s="3213" t="s">
        <v>1153</v>
      </c>
      <c r="B177" s="3202" t="s">
        <v>3056</v>
      </c>
      <c r="C177" s="3214"/>
      <c r="D177" s="3214"/>
      <c r="E177" s="3214"/>
      <c r="F177" s="3203">
        <v>0.05</v>
      </c>
      <c r="G177" s="3220"/>
    </row>
    <row r="178" spans="1:7">
      <c r="A178" s="3213" t="s">
        <v>1153</v>
      </c>
      <c r="B178" s="3202" t="s">
        <v>3057</v>
      </c>
      <c r="C178" s="3214"/>
      <c r="D178" s="3214"/>
      <c r="E178" s="3214"/>
      <c r="F178" s="3203">
        <v>0.05</v>
      </c>
      <c r="G178" s="3220"/>
    </row>
    <row r="179" spans="1:7">
      <c r="A179" s="3213" t="s">
        <v>1153</v>
      </c>
      <c r="B179" s="3202" t="s">
        <v>3058</v>
      </c>
      <c r="C179" s="3214"/>
      <c r="D179" s="3214"/>
      <c r="E179" s="3214"/>
      <c r="F179" s="3203">
        <v>0.05</v>
      </c>
      <c r="G179" s="3220"/>
    </row>
    <row r="180" spans="1:7">
      <c r="A180" s="3213" t="s">
        <v>1153</v>
      </c>
      <c r="B180" s="3202" t="s">
        <v>3059</v>
      </c>
      <c r="C180" s="3214"/>
      <c r="D180" s="3214"/>
      <c r="E180" s="3214"/>
      <c r="F180" s="3203">
        <v>0.05</v>
      </c>
      <c r="G180" s="3220"/>
    </row>
    <row r="181" spans="1:7">
      <c r="A181" s="3213" t="s">
        <v>1153</v>
      </c>
      <c r="B181" s="3202" t="s">
        <v>3060</v>
      </c>
      <c r="C181" s="3214"/>
      <c r="D181" s="3214"/>
      <c r="E181" s="3214"/>
      <c r="F181" s="3203">
        <v>0.05</v>
      </c>
      <c r="G181" s="3220"/>
    </row>
    <row r="182" spans="1:7">
      <c r="A182" s="3213" t="s">
        <v>1153</v>
      </c>
      <c r="B182" s="3202" t="s">
        <v>3061</v>
      </c>
      <c r="C182" s="3214"/>
      <c r="D182" s="3214"/>
      <c r="E182" s="3214"/>
      <c r="F182" s="3203">
        <v>0.05</v>
      </c>
      <c r="G182" s="3220"/>
    </row>
    <row r="183" spans="1:7">
      <c r="A183" s="3213" t="s">
        <v>1153</v>
      </c>
      <c r="B183" s="3202" t="s">
        <v>3062</v>
      </c>
      <c r="C183" s="3214"/>
      <c r="D183" s="3214"/>
      <c r="E183" s="3214"/>
      <c r="F183" s="3203">
        <v>0.05</v>
      </c>
      <c r="G183" s="3220"/>
    </row>
    <row r="184" spans="1:7">
      <c r="A184" s="3213" t="s">
        <v>1153</v>
      </c>
      <c r="B184" s="3202" t="s">
        <v>3063</v>
      </c>
      <c r="C184" s="3214"/>
      <c r="D184" s="3214"/>
      <c r="E184" s="3214"/>
      <c r="F184" s="3203">
        <v>0.05</v>
      </c>
      <c r="G184" s="3220"/>
    </row>
    <row r="185" spans="1:7">
      <c r="A185" s="3213" t="s">
        <v>1153</v>
      </c>
      <c r="B185" s="3202" t="s">
        <v>3064</v>
      </c>
      <c r="C185" s="3214"/>
      <c r="D185" s="3214"/>
      <c r="E185" s="3214"/>
      <c r="F185" s="3203">
        <v>0.05</v>
      </c>
      <c r="G185" s="3220"/>
    </row>
    <row r="186" spans="1:7">
      <c r="A186" s="3213" t="s">
        <v>1153</v>
      </c>
      <c r="B186" s="3202" t="s">
        <v>3065</v>
      </c>
      <c r="C186" s="3214"/>
      <c r="D186" s="3214"/>
      <c r="E186" s="3214"/>
      <c r="F186" s="3203">
        <v>0.05</v>
      </c>
      <c r="G186" s="3220"/>
    </row>
    <row r="187" spans="1:7">
      <c r="A187" s="3213" t="s">
        <v>1153</v>
      </c>
      <c r="B187" s="3202" t="s">
        <v>3066</v>
      </c>
      <c r="C187" s="3214"/>
      <c r="D187" s="3214"/>
      <c r="E187" s="3214"/>
      <c r="F187" s="3203">
        <v>0.05</v>
      </c>
      <c r="G187" s="3220"/>
    </row>
    <row r="188" spans="1:7">
      <c r="A188" s="3213" t="s">
        <v>1153</v>
      </c>
      <c r="B188" s="3202" t="s">
        <v>3067</v>
      </c>
      <c r="C188" s="3214"/>
      <c r="D188" s="3214"/>
      <c r="E188" s="3214"/>
      <c r="F188" s="3203">
        <v>0.05</v>
      </c>
      <c r="G188" s="3220"/>
    </row>
    <row r="189" spans="1:7" ht="14.25" thickBot="1">
      <c r="A189" s="3216" t="s">
        <v>1153</v>
      </c>
      <c r="B189" s="3206" t="s">
        <v>3068</v>
      </c>
      <c r="C189" s="3208"/>
      <c r="D189" s="3208"/>
      <c r="E189" s="3208"/>
      <c r="F189" s="3207">
        <v>0.05</v>
      </c>
      <c r="G189" s="3221"/>
    </row>
    <row r="190" spans="1:7">
      <c r="A190" s="3212" t="s">
        <v>1154</v>
      </c>
      <c r="B190" s="3198" t="s">
        <v>3069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3070</v>
      </c>
      <c r="C199" s="3203">
        <v>0.13</v>
      </c>
      <c r="D199" s="3203">
        <v>0.13</v>
      </c>
      <c r="E199" s="3203">
        <v>0.13</v>
      </c>
      <c r="F199" s="3203">
        <v>0.13</v>
      </c>
      <c r="G199" s="3204">
        <v>0.13</v>
      </c>
    </row>
    <row r="200" spans="1:7">
      <c r="A200" s="3213" t="s">
        <v>1154</v>
      </c>
      <c r="B200" s="3202" t="s">
        <v>2885</v>
      </c>
      <c r="C200" s="3219"/>
      <c r="D200" s="3219"/>
      <c r="E200" s="3219"/>
      <c r="F200" s="3203">
        <v>0.13</v>
      </c>
      <c r="G200" s="3215"/>
    </row>
    <row r="201" spans="1:7">
      <c r="A201" s="3213" t="s">
        <v>1154</v>
      </c>
      <c r="B201" s="3202" t="s">
        <v>3071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3072</v>
      </c>
      <c r="C203" s="3203">
        <v>0.129</v>
      </c>
      <c r="D203" s="3203">
        <v>0.129</v>
      </c>
      <c r="E203" s="3203">
        <v>0.13</v>
      </c>
      <c r="F203" s="3203">
        <v>0.13</v>
      </c>
      <c r="G203" s="3204">
        <v>0.13</v>
      </c>
    </row>
    <row r="204" spans="1:7">
      <c r="A204" s="3213" t="s">
        <v>1154</v>
      </c>
      <c r="B204" s="3202" t="s">
        <v>2888</v>
      </c>
      <c r="C204" s="3203">
        <v>0.129</v>
      </c>
      <c r="D204" s="3203">
        <v>0.129</v>
      </c>
      <c r="E204" s="3203">
        <v>0.123</v>
      </c>
      <c r="F204" s="3203">
        <v>0.13</v>
      </c>
      <c r="G204" s="3204">
        <v>0.13</v>
      </c>
    </row>
    <row r="205" spans="1:7">
      <c r="A205" s="3213" t="s">
        <v>1154</v>
      </c>
      <c r="B205" s="3202" t="s">
        <v>2889</v>
      </c>
      <c r="C205" s="3203">
        <v>0.13</v>
      </c>
      <c r="D205" s="3203">
        <v>0.13</v>
      </c>
      <c r="E205" s="3203">
        <v>0.13</v>
      </c>
      <c r="F205" s="3203">
        <v>0.13</v>
      </c>
      <c r="G205" s="3204">
        <v>0.13</v>
      </c>
    </row>
    <row r="206" spans="1:7">
      <c r="A206" s="3213" t="s">
        <v>1154</v>
      </c>
      <c r="B206" s="3202" t="s">
        <v>2890</v>
      </c>
      <c r="C206" s="3203">
        <v>0.13</v>
      </c>
      <c r="D206" s="3203">
        <v>0.13</v>
      </c>
      <c r="E206" s="3203">
        <v>0.13</v>
      </c>
      <c r="F206" s="3203">
        <v>0.128</v>
      </c>
      <c r="G206" s="3204">
        <v>0.13</v>
      </c>
    </row>
    <row r="207" spans="1:7">
      <c r="A207" s="3213" t="s">
        <v>1154</v>
      </c>
      <c r="B207" s="3202" t="s">
        <v>2891</v>
      </c>
      <c r="C207" s="3203">
        <v>0.13</v>
      </c>
      <c r="D207" s="3203">
        <v>0.13</v>
      </c>
      <c r="E207" s="3203">
        <v>0.13</v>
      </c>
      <c r="F207" s="3203">
        <v>0.13</v>
      </c>
      <c r="G207" s="3204">
        <v>0.13</v>
      </c>
    </row>
    <row r="208" spans="1:7">
      <c r="A208" s="3213" t="s">
        <v>1154</v>
      </c>
      <c r="B208" s="3202" t="s">
        <v>3073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2893</v>
      </c>
      <c r="C210" s="3203">
        <v>0.121</v>
      </c>
      <c r="D210" s="3203">
        <v>0.121</v>
      </c>
      <c r="E210" s="3203">
        <v>0.125</v>
      </c>
      <c r="F210" s="3203">
        <v>0.13</v>
      </c>
      <c r="G210" s="3204">
        <v>0.123</v>
      </c>
    </row>
    <row r="211" spans="1:7">
      <c r="A211" s="3213" t="s">
        <v>1154</v>
      </c>
      <c r="B211" s="3202" t="s">
        <v>3074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3075</v>
      </c>
      <c r="C214" s="3203">
        <v>0.128</v>
      </c>
      <c r="D214" s="3203">
        <v>0.128</v>
      </c>
      <c r="E214" s="3203">
        <v>0.13</v>
      </c>
      <c r="F214" s="3203">
        <v>0.13</v>
      </c>
      <c r="G214" s="3204">
        <v>0.13</v>
      </c>
    </row>
    <row r="215" spans="1:7">
      <c r="A215" s="3213" t="s">
        <v>1154</v>
      </c>
      <c r="B215" s="3202" t="s">
        <v>3076</v>
      </c>
      <c r="C215" s="3203">
        <v>0.13</v>
      </c>
      <c r="D215" s="3203">
        <v>0.13</v>
      </c>
      <c r="E215" s="3203">
        <v>0.13</v>
      </c>
      <c r="F215" s="3203">
        <v>0.129</v>
      </c>
      <c r="G215" s="3204">
        <v>0.13</v>
      </c>
    </row>
    <row r="216" spans="1:7">
      <c r="A216" s="3213" t="s">
        <v>1154</v>
      </c>
      <c r="B216" s="3202" t="s">
        <v>3077</v>
      </c>
      <c r="C216" s="3203">
        <v>0.13</v>
      </c>
      <c r="D216" s="3203">
        <v>0.13</v>
      </c>
      <c r="E216" s="3203">
        <v>0.13</v>
      </c>
      <c r="F216" s="3203">
        <v>0.13</v>
      </c>
      <c r="G216" s="3204">
        <v>0.13</v>
      </c>
    </row>
    <row r="217" spans="1:7">
      <c r="A217" s="3213" t="s">
        <v>1154</v>
      </c>
      <c r="B217" s="3202" t="s">
        <v>2897</v>
      </c>
      <c r="C217" s="3203">
        <v>0.129</v>
      </c>
      <c r="D217" s="3203">
        <v>0.129</v>
      </c>
      <c r="E217" s="3203">
        <v>0.13</v>
      </c>
      <c r="F217" s="3203">
        <v>0.13</v>
      </c>
      <c r="G217" s="3204">
        <v>0.13</v>
      </c>
    </row>
    <row r="218" spans="1:7">
      <c r="A218" s="3213" t="s">
        <v>1154</v>
      </c>
      <c r="B218" s="3202" t="s">
        <v>3078</v>
      </c>
      <c r="C218" s="3214"/>
      <c r="D218" s="3214"/>
      <c r="E218" s="3214"/>
      <c r="F218" s="3203">
        <v>0.05</v>
      </c>
      <c r="G218" s="3220"/>
    </row>
    <row r="219" spans="1:7">
      <c r="A219" s="3213" t="s">
        <v>1154</v>
      </c>
      <c r="B219" s="3202" t="s">
        <v>3079</v>
      </c>
      <c r="C219" s="3214"/>
      <c r="D219" s="3214"/>
      <c r="E219" s="3214"/>
      <c r="F219" s="3203">
        <v>0.05</v>
      </c>
      <c r="G219" s="3220"/>
    </row>
    <row r="220" spans="1:7">
      <c r="A220" s="3213" t="s">
        <v>1154</v>
      </c>
      <c r="B220" s="3202" t="s">
        <v>3080</v>
      </c>
      <c r="C220" s="3214"/>
      <c r="D220" s="3214"/>
      <c r="E220" s="3214"/>
      <c r="F220" s="3203">
        <v>0.05</v>
      </c>
      <c r="G220" s="3220"/>
    </row>
    <row r="221" spans="1:7">
      <c r="A221" s="3213" t="s">
        <v>1154</v>
      </c>
      <c r="B221" s="3202" t="s">
        <v>3081</v>
      </c>
      <c r="C221" s="3214"/>
      <c r="D221" s="3214"/>
      <c r="E221" s="3214"/>
      <c r="F221" s="3203">
        <v>0.05</v>
      </c>
      <c r="G221" s="3220"/>
    </row>
    <row r="222" spans="1:7">
      <c r="A222" s="3213" t="s">
        <v>1154</v>
      </c>
      <c r="B222" s="3202" t="s">
        <v>3082</v>
      </c>
      <c r="C222" s="3214"/>
      <c r="D222" s="3214"/>
      <c r="E222" s="3214"/>
      <c r="F222" s="3203">
        <v>0.05</v>
      </c>
      <c r="G222" s="3220"/>
    </row>
    <row r="223" spans="1:7">
      <c r="A223" s="3213" t="s">
        <v>1154</v>
      </c>
      <c r="B223" s="3202" t="s">
        <v>3083</v>
      </c>
      <c r="C223" s="3214"/>
      <c r="D223" s="3214"/>
      <c r="E223" s="3214"/>
      <c r="F223" s="3203">
        <v>0.05</v>
      </c>
      <c r="G223" s="3220"/>
    </row>
    <row r="224" spans="1:7">
      <c r="A224" s="3213" t="s">
        <v>1154</v>
      </c>
      <c r="B224" s="3202" t="s">
        <v>3084</v>
      </c>
      <c r="C224" s="3214"/>
      <c r="D224" s="3214"/>
      <c r="E224" s="3214"/>
      <c r="F224" s="3203">
        <v>0.05</v>
      </c>
      <c r="G224" s="3220"/>
    </row>
    <row r="225" spans="1:7">
      <c r="A225" s="3213" t="s">
        <v>1154</v>
      </c>
      <c r="B225" s="3202" t="s">
        <v>3085</v>
      </c>
      <c r="C225" s="3214"/>
      <c r="D225" s="3214"/>
      <c r="E225" s="3214"/>
      <c r="F225" s="3203">
        <v>0.05</v>
      </c>
      <c r="G225" s="3220"/>
    </row>
    <row r="226" spans="1:7">
      <c r="A226" s="3213" t="s">
        <v>1154</v>
      </c>
      <c r="B226" s="3202" t="s">
        <v>3086</v>
      </c>
      <c r="C226" s="3214"/>
      <c r="D226" s="3214"/>
      <c r="E226" s="3214"/>
      <c r="F226" s="3203">
        <v>0.05</v>
      </c>
      <c r="G226" s="3220"/>
    </row>
    <row r="227" spans="1:7">
      <c r="A227" s="3213" t="s">
        <v>1154</v>
      </c>
      <c r="B227" s="3202" t="s">
        <v>3087</v>
      </c>
      <c r="C227" s="3214"/>
      <c r="D227" s="3214"/>
      <c r="E227" s="3214"/>
      <c r="F227" s="3203">
        <v>0.05</v>
      </c>
      <c r="G227" s="3220"/>
    </row>
    <row r="228" spans="1:7">
      <c r="A228" s="3213" t="s">
        <v>1154</v>
      </c>
      <c r="B228" s="3202" t="s">
        <v>3088</v>
      </c>
      <c r="C228" s="3214"/>
      <c r="D228" s="3214"/>
      <c r="E228" s="3214"/>
      <c r="F228" s="3203">
        <v>0.05</v>
      </c>
      <c r="G228" s="3220"/>
    </row>
    <row r="229" spans="1:7">
      <c r="A229" s="3213" t="s">
        <v>1154</v>
      </c>
      <c r="B229" s="3202" t="s">
        <v>3089</v>
      </c>
      <c r="C229" s="3214"/>
      <c r="D229" s="3214"/>
      <c r="E229" s="3214"/>
      <c r="F229" s="3203">
        <v>0.05</v>
      </c>
      <c r="G229" s="3220"/>
    </row>
    <row r="230" spans="1:7">
      <c r="A230" s="3213" t="s">
        <v>1154</v>
      </c>
      <c r="B230" s="3202" t="s">
        <v>3090</v>
      </c>
      <c r="C230" s="3214"/>
      <c r="D230" s="3214"/>
      <c r="E230" s="3214"/>
      <c r="F230" s="3203">
        <v>0.05</v>
      </c>
      <c r="G230" s="3220"/>
    </row>
    <row r="231" spans="1:7">
      <c r="A231" s="3213" t="s">
        <v>1154</v>
      </c>
      <c r="B231" s="3202" t="s">
        <v>3091</v>
      </c>
      <c r="C231" s="3214"/>
      <c r="D231" s="3214"/>
      <c r="E231" s="3214"/>
      <c r="F231" s="3203">
        <v>0.05</v>
      </c>
      <c r="G231" s="3220"/>
    </row>
    <row r="232" spans="1:7">
      <c r="A232" s="3213" t="s">
        <v>1154</v>
      </c>
      <c r="B232" s="3202" t="s">
        <v>3092</v>
      </c>
      <c r="C232" s="3214"/>
      <c r="D232" s="3214"/>
      <c r="E232" s="3214"/>
      <c r="F232" s="3203">
        <v>0.05</v>
      </c>
      <c r="G232" s="3220"/>
    </row>
    <row r="233" spans="1:7" ht="14.25" thickBot="1">
      <c r="A233" s="3216" t="s">
        <v>1154</v>
      </c>
      <c r="B233" s="3206" t="s">
        <v>3093</v>
      </c>
      <c r="C233" s="3208"/>
      <c r="D233" s="3208"/>
      <c r="E233" s="3208"/>
      <c r="F233" s="3207">
        <v>0.05</v>
      </c>
      <c r="G233" s="3221"/>
    </row>
    <row r="234" spans="1:7">
      <c r="A234" s="3212" t="s">
        <v>1155</v>
      </c>
      <c r="B234" s="3198" t="s">
        <v>3094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2915</v>
      </c>
      <c r="C238" s="3203">
        <v>0.14899999999999999</v>
      </c>
      <c r="D238" s="3203">
        <v>0.14899999999999999</v>
      </c>
      <c r="E238" s="3203">
        <v>0.15</v>
      </c>
      <c r="F238" s="3203">
        <v>0.15</v>
      </c>
      <c r="G238" s="3204">
        <v>0.15</v>
      </c>
    </row>
    <row r="239" spans="1:7">
      <c r="A239" s="3213" t="s">
        <v>1155</v>
      </c>
      <c r="B239" s="3202" t="s">
        <v>3095</v>
      </c>
      <c r="C239" s="3203">
        <v>0.15</v>
      </c>
      <c r="D239" s="3203">
        <v>0.15</v>
      </c>
      <c r="E239" s="3203">
        <v>0.15</v>
      </c>
      <c r="F239" s="3203">
        <v>0.15</v>
      </c>
      <c r="G239" s="3204">
        <v>0.15</v>
      </c>
    </row>
    <row r="240" spans="1:7">
      <c r="A240" s="3213" t="s">
        <v>1155</v>
      </c>
      <c r="B240" s="3202" t="s">
        <v>3096</v>
      </c>
      <c r="C240" s="3203">
        <v>0.15</v>
      </c>
      <c r="D240" s="3203">
        <v>0.15</v>
      </c>
      <c r="E240" s="3203">
        <v>0.15</v>
      </c>
      <c r="F240" s="3203">
        <v>0.15</v>
      </c>
      <c r="G240" s="3204">
        <v>0.15</v>
      </c>
    </row>
    <row r="241" spans="1:7">
      <c r="A241" s="3213" t="s">
        <v>1155</v>
      </c>
      <c r="B241" s="3202" t="s">
        <v>3097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3098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3099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2924</v>
      </c>
      <c r="C258" s="3203">
        <v>0.14299999999999999</v>
      </c>
      <c r="D258" s="3203">
        <v>0.14299999999999999</v>
      </c>
      <c r="E258" s="3203">
        <v>0.15</v>
      </c>
      <c r="F258" s="3203">
        <v>0.14799999999999999</v>
      </c>
      <c r="G258" s="3204">
        <v>0.14599999999999999</v>
      </c>
    </row>
    <row r="259" spans="1:7">
      <c r="A259" s="3213" t="s">
        <v>1155</v>
      </c>
      <c r="B259" s="3202" t="s">
        <v>3103</v>
      </c>
      <c r="C259" s="3203">
        <v>0.14399999999999999</v>
      </c>
      <c r="D259" s="3203">
        <v>0.14399999999999999</v>
      </c>
      <c r="E259" s="3203">
        <v>0.14899999999999999</v>
      </c>
      <c r="F259" s="3203">
        <v>0.14699999999999999</v>
      </c>
      <c r="G259" s="3204">
        <v>0.14599999999999999</v>
      </c>
    </row>
    <row r="260" spans="1:7">
      <c r="A260" s="3213" t="s">
        <v>1155</v>
      </c>
      <c r="B260" s="3202" t="s">
        <v>3104</v>
      </c>
      <c r="C260" s="3203">
        <v>0.109</v>
      </c>
      <c r="D260" s="3203">
        <v>0.111</v>
      </c>
      <c r="E260" s="3203">
        <v>0.13100000000000001</v>
      </c>
      <c r="F260" s="3203">
        <v>0.126</v>
      </c>
      <c r="G260" s="3204">
        <v>0.11899999999999999</v>
      </c>
    </row>
    <row r="261" spans="1:7">
      <c r="A261" s="3213" t="s">
        <v>1155</v>
      </c>
      <c r="B261" s="3202" t="s">
        <v>3105</v>
      </c>
      <c r="C261" s="3203">
        <v>0.1</v>
      </c>
      <c r="D261" s="3203">
        <v>0.1</v>
      </c>
      <c r="E261" s="3203">
        <v>0.11799999999999999</v>
      </c>
      <c r="F261" s="3203">
        <v>0.108</v>
      </c>
      <c r="G261" s="3204">
        <v>0.107</v>
      </c>
    </row>
    <row r="262" spans="1:7">
      <c r="A262" s="3213" t="s">
        <v>1155</v>
      </c>
      <c r="B262" s="3202" t="s">
        <v>3106</v>
      </c>
      <c r="C262" s="3203">
        <v>0.1</v>
      </c>
      <c r="D262" s="3203">
        <v>0.1</v>
      </c>
      <c r="E262" s="3203">
        <v>0.1</v>
      </c>
      <c r="F262" s="3203">
        <v>0.14099999999999999</v>
      </c>
      <c r="G262" s="3204">
        <v>0.1</v>
      </c>
    </row>
    <row r="263" spans="1:7">
      <c r="A263" s="3213" t="s">
        <v>1155</v>
      </c>
      <c r="B263" s="3202" t="s">
        <v>3107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3108</v>
      </c>
      <c r="C265" s="3214"/>
      <c r="D265" s="3214"/>
      <c r="E265" s="3214"/>
      <c r="F265" s="3203">
        <v>0.05</v>
      </c>
      <c r="G265" s="3220"/>
    </row>
    <row r="266" spans="1:7">
      <c r="A266" s="3213" t="s">
        <v>1155</v>
      </c>
      <c r="B266" s="3202" t="s">
        <v>3109</v>
      </c>
      <c r="C266" s="3214"/>
      <c r="D266" s="3214"/>
      <c r="E266" s="3214"/>
      <c r="F266" s="3203">
        <v>0.05</v>
      </c>
      <c r="G266" s="3220"/>
    </row>
    <row r="267" spans="1:7">
      <c r="A267" s="3213" t="s">
        <v>1155</v>
      </c>
      <c r="B267" s="3202" t="s">
        <v>3110</v>
      </c>
      <c r="C267" s="3214"/>
      <c r="D267" s="3214"/>
      <c r="E267" s="3214"/>
      <c r="F267" s="3203">
        <v>0.05</v>
      </c>
      <c r="G267" s="3220"/>
    </row>
    <row r="268" spans="1:7">
      <c r="A268" s="3213" t="s">
        <v>1155</v>
      </c>
      <c r="B268" s="3202" t="s">
        <v>3111</v>
      </c>
      <c r="C268" s="3214"/>
      <c r="D268" s="3214"/>
      <c r="E268" s="3214"/>
      <c r="F268" s="3203">
        <v>0.05</v>
      </c>
      <c r="G268" s="3220"/>
    </row>
    <row r="269" spans="1:7">
      <c r="A269" s="3213" t="s">
        <v>1155</v>
      </c>
      <c r="B269" s="3202" t="s">
        <v>3112</v>
      </c>
      <c r="C269" s="3214"/>
      <c r="D269" s="3214"/>
      <c r="E269" s="3214"/>
      <c r="F269" s="3203">
        <v>0.05</v>
      </c>
      <c r="G269" s="3220"/>
    </row>
    <row r="270" spans="1:7">
      <c r="A270" s="3213" t="s">
        <v>1155</v>
      </c>
      <c r="B270" s="3202" t="s">
        <v>3113</v>
      </c>
      <c r="C270" s="3214"/>
      <c r="D270" s="3214"/>
      <c r="E270" s="3214"/>
      <c r="F270" s="3203">
        <v>0.05</v>
      </c>
      <c r="G270" s="3220"/>
    </row>
    <row r="271" spans="1:7">
      <c r="A271" s="3213" t="s">
        <v>1155</v>
      </c>
      <c r="B271" s="3202" t="s">
        <v>3114</v>
      </c>
      <c r="C271" s="3214"/>
      <c r="D271" s="3214"/>
      <c r="E271" s="3214"/>
      <c r="F271" s="3203">
        <v>0.05</v>
      </c>
      <c r="G271" s="3220"/>
    </row>
    <row r="272" spans="1:7">
      <c r="A272" s="3213" t="s">
        <v>1155</v>
      </c>
      <c r="B272" s="3202" t="s">
        <v>3115</v>
      </c>
      <c r="C272" s="3214"/>
      <c r="D272" s="3214"/>
      <c r="E272" s="3214"/>
      <c r="F272" s="3203">
        <v>0.05</v>
      </c>
      <c r="G272" s="3220"/>
    </row>
    <row r="273" spans="1:7">
      <c r="A273" s="3213" t="s">
        <v>1155</v>
      </c>
      <c r="B273" s="3202" t="s">
        <v>3116</v>
      </c>
      <c r="C273" s="3214"/>
      <c r="D273" s="3214"/>
      <c r="E273" s="3214"/>
      <c r="F273" s="3203">
        <v>0.05</v>
      </c>
      <c r="G273" s="3220"/>
    </row>
    <row r="274" spans="1:7">
      <c r="A274" s="3213" t="s">
        <v>1155</v>
      </c>
      <c r="B274" s="3202" t="s">
        <v>3117</v>
      </c>
      <c r="C274" s="3214"/>
      <c r="D274" s="3214"/>
      <c r="E274" s="3214"/>
      <c r="F274" s="3203">
        <v>0.05</v>
      </c>
      <c r="G274" s="3220"/>
    </row>
    <row r="275" spans="1:7">
      <c r="A275" s="3213" t="s">
        <v>1155</v>
      </c>
      <c r="B275" s="3202" t="s">
        <v>3118</v>
      </c>
      <c r="C275" s="3214"/>
      <c r="D275" s="3214"/>
      <c r="E275" s="3214"/>
      <c r="F275" s="3203">
        <v>0.05</v>
      </c>
      <c r="G275" s="3220"/>
    </row>
    <row r="276" spans="1:7" ht="14.25" thickBot="1">
      <c r="A276" s="3216" t="s">
        <v>1155</v>
      </c>
      <c r="B276" s="3206" t="s">
        <v>3119</v>
      </c>
      <c r="C276" s="3208"/>
      <c r="D276" s="3208"/>
      <c r="E276" s="3208"/>
      <c r="F276" s="3207">
        <v>0.05</v>
      </c>
      <c r="G276" s="3221"/>
    </row>
    <row r="277" spans="1:7">
      <c r="A277" s="3212" t="s">
        <v>1156</v>
      </c>
      <c r="B277" s="3198" t="s">
        <v>3120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3121</v>
      </c>
      <c r="C279" s="3203">
        <v>0.15</v>
      </c>
      <c r="D279" s="3203">
        <v>0.15</v>
      </c>
      <c r="E279" s="3203">
        <v>0.15</v>
      </c>
      <c r="F279" s="3203">
        <v>0.15</v>
      </c>
      <c r="G279" s="3204">
        <v>0.15</v>
      </c>
    </row>
    <row r="280" spans="1:7">
      <c r="A280" s="3213" t="s">
        <v>1156</v>
      </c>
      <c r="B280" s="3202" t="s">
        <v>3122</v>
      </c>
      <c r="C280" s="3203">
        <v>0.15</v>
      </c>
      <c r="D280" s="3203">
        <v>0.15</v>
      </c>
      <c r="E280" s="3203">
        <v>0.15</v>
      </c>
      <c r="F280" s="3203">
        <v>0.15</v>
      </c>
      <c r="G280" s="3204">
        <v>0.15</v>
      </c>
    </row>
    <row r="281" spans="1:7">
      <c r="A281" s="3213" t="s">
        <v>1156</v>
      </c>
      <c r="B281" s="3202" t="s">
        <v>3123</v>
      </c>
      <c r="C281" s="3203">
        <v>0.15</v>
      </c>
      <c r="D281" s="3203">
        <v>0.15</v>
      </c>
      <c r="E281" s="3203">
        <v>0.15</v>
      </c>
      <c r="F281" s="3203">
        <v>0.15</v>
      </c>
      <c r="G281" s="3204">
        <v>0.15</v>
      </c>
    </row>
    <row r="282" spans="1:7">
      <c r="A282" s="3213" t="s">
        <v>1156</v>
      </c>
      <c r="B282" s="3202" t="s">
        <v>3124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3125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3126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2949</v>
      </c>
      <c r="C293" s="3203">
        <v>0.15</v>
      </c>
      <c r="D293" s="3203">
        <v>0.15</v>
      </c>
      <c r="E293" s="3203">
        <v>0.15</v>
      </c>
      <c r="F293" s="3203">
        <v>0.14499999999999999</v>
      </c>
      <c r="G293" s="3204">
        <v>0.15</v>
      </c>
    </row>
    <row r="294" spans="1:7">
      <c r="A294" s="3213" t="s">
        <v>1156</v>
      </c>
      <c r="B294" s="3202" t="s">
        <v>3127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3128</v>
      </c>
      <c r="C302" s="3203">
        <v>0.15</v>
      </c>
      <c r="D302" s="3203">
        <v>0.15</v>
      </c>
      <c r="E302" s="3203">
        <v>0.15</v>
      </c>
      <c r="F302" s="3203">
        <v>0.14699999999999999</v>
      </c>
      <c r="G302" s="3204">
        <v>0.15</v>
      </c>
    </row>
    <row r="303" spans="1:7">
      <c r="A303" s="3213" t="s">
        <v>1156</v>
      </c>
      <c r="B303" s="3202" t="s">
        <v>2953</v>
      </c>
      <c r="C303" s="3203">
        <v>0.15</v>
      </c>
      <c r="D303" s="3203">
        <v>0.15</v>
      </c>
      <c r="E303" s="3203">
        <v>0.15</v>
      </c>
      <c r="F303" s="3203">
        <v>0.14199999999999999</v>
      </c>
      <c r="G303" s="3204">
        <v>0.15</v>
      </c>
    </row>
    <row r="304" spans="1:7">
      <c r="A304" s="3213" t="s">
        <v>1156</v>
      </c>
      <c r="B304" s="3202" t="s">
        <v>2954</v>
      </c>
      <c r="C304" s="3203">
        <v>0.15</v>
      </c>
      <c r="D304" s="3203">
        <v>0.15</v>
      </c>
      <c r="E304" s="3203">
        <v>0.15</v>
      </c>
      <c r="F304" s="3203">
        <v>0.14499999999999999</v>
      </c>
      <c r="G304" s="3204">
        <v>0.15</v>
      </c>
    </row>
    <row r="305" spans="1:7">
      <c r="A305" s="3213" t="s">
        <v>1156</v>
      </c>
      <c r="B305" s="3202" t="s">
        <v>2955</v>
      </c>
      <c r="C305" s="3203">
        <v>0.15</v>
      </c>
      <c r="D305" s="3203">
        <v>0.15</v>
      </c>
      <c r="E305" s="3203">
        <v>0.15</v>
      </c>
      <c r="F305" s="3203">
        <v>0.111</v>
      </c>
      <c r="G305" s="3204">
        <v>0.15</v>
      </c>
    </row>
    <row r="306" spans="1:7">
      <c r="A306" s="3213" t="s">
        <v>1156</v>
      </c>
      <c r="B306" s="3202" t="s">
        <v>3129</v>
      </c>
      <c r="C306" s="3203">
        <v>0.15</v>
      </c>
      <c r="D306" s="3203">
        <v>0.15</v>
      </c>
      <c r="E306" s="3203">
        <v>0.15</v>
      </c>
      <c r="F306" s="3203">
        <v>0.126</v>
      </c>
      <c r="G306" s="3204">
        <v>0.15</v>
      </c>
    </row>
    <row r="307" spans="1:7">
      <c r="A307" s="3213" t="s">
        <v>1156</v>
      </c>
      <c r="B307" s="3202" t="s">
        <v>2957</v>
      </c>
      <c r="C307" s="3203">
        <v>0.15</v>
      </c>
      <c r="D307" s="3203">
        <v>0.15</v>
      </c>
      <c r="E307" s="3203">
        <v>0.15</v>
      </c>
      <c r="F307" s="3203">
        <v>0.12</v>
      </c>
      <c r="G307" s="3204">
        <v>0.15</v>
      </c>
    </row>
    <row r="308" spans="1:7">
      <c r="A308" s="3213" t="s">
        <v>1156</v>
      </c>
      <c r="B308" s="3202" t="s">
        <v>3130</v>
      </c>
      <c r="C308" s="3203">
        <v>0.15</v>
      </c>
      <c r="D308" s="3203">
        <v>0.15</v>
      </c>
      <c r="E308" s="3203">
        <v>0.15</v>
      </c>
      <c r="F308" s="3203">
        <v>0.13</v>
      </c>
      <c r="G308" s="3204">
        <v>0.15</v>
      </c>
    </row>
    <row r="309" spans="1:7">
      <c r="A309" s="3213" t="s">
        <v>1156</v>
      </c>
      <c r="B309" s="3202" t="s">
        <v>3131</v>
      </c>
      <c r="C309" s="3203">
        <v>0.15</v>
      </c>
      <c r="D309" s="3203">
        <v>0.15</v>
      </c>
      <c r="E309" s="3203">
        <v>0.15</v>
      </c>
      <c r="F309" s="3203">
        <v>0.14099999999999999</v>
      </c>
      <c r="G309" s="3204">
        <v>0.15</v>
      </c>
    </row>
    <row r="310" spans="1:7">
      <c r="A310" s="3213" t="s">
        <v>1156</v>
      </c>
      <c r="B310" s="3202" t="s">
        <v>2960</v>
      </c>
      <c r="C310" s="3203">
        <v>0.15</v>
      </c>
      <c r="D310" s="3203">
        <v>0.15</v>
      </c>
      <c r="E310" s="3203">
        <v>0.15</v>
      </c>
      <c r="F310" s="3203">
        <v>0.15</v>
      </c>
      <c r="G310" s="3204">
        <v>0.15</v>
      </c>
    </row>
    <row r="311" spans="1:7">
      <c r="A311" s="3213" t="s">
        <v>1156</v>
      </c>
      <c r="B311" s="3202" t="s">
        <v>3132</v>
      </c>
      <c r="C311" s="3203">
        <v>0.13200000000000001</v>
      </c>
      <c r="D311" s="3203">
        <v>0.13300000000000001</v>
      </c>
      <c r="E311" s="3203">
        <v>0.14499999999999999</v>
      </c>
      <c r="F311" s="3203">
        <v>0.14199999999999999</v>
      </c>
      <c r="G311" s="3204">
        <v>0.14000000000000001</v>
      </c>
    </row>
    <row r="312" spans="1:7">
      <c r="A312" s="3213" t="s">
        <v>1156</v>
      </c>
      <c r="B312" s="3202" t="s">
        <v>2962</v>
      </c>
      <c r="C312" s="3203">
        <v>0.13800000000000001</v>
      </c>
      <c r="D312" s="3203">
        <v>0.14000000000000001</v>
      </c>
      <c r="E312" s="3203">
        <v>0.14599999999999999</v>
      </c>
      <c r="F312" s="3203">
        <v>0.14899999999999999</v>
      </c>
      <c r="G312" s="3204">
        <v>0.14199999999999999</v>
      </c>
    </row>
    <row r="313" spans="1:7">
      <c r="A313" s="3213" t="s">
        <v>1156</v>
      </c>
      <c r="B313" s="3202" t="s">
        <v>2963</v>
      </c>
      <c r="C313" s="3203">
        <v>0.125</v>
      </c>
      <c r="D313" s="3203">
        <v>0.127</v>
      </c>
      <c r="E313" s="3203">
        <v>0.14399999999999999</v>
      </c>
      <c r="F313" s="3203">
        <v>0.115</v>
      </c>
      <c r="G313" s="3204">
        <v>0.13600000000000001</v>
      </c>
    </row>
    <row r="314" spans="1:7">
      <c r="A314" s="3213" t="s">
        <v>1156</v>
      </c>
      <c r="B314" s="3202" t="s">
        <v>3133</v>
      </c>
      <c r="C314" s="3219"/>
      <c r="D314" s="3219"/>
      <c r="E314" s="3219"/>
      <c r="F314" s="3203">
        <v>0.05</v>
      </c>
      <c r="G314" s="3220"/>
    </row>
    <row r="315" spans="1:7">
      <c r="A315" s="3213" t="s">
        <v>1156</v>
      </c>
      <c r="B315" s="3202" t="s">
        <v>3134</v>
      </c>
      <c r="C315" s="3219"/>
      <c r="D315" s="3219"/>
      <c r="E315" s="3219"/>
      <c r="F315" s="3203">
        <v>0.05</v>
      </c>
      <c r="G315" s="3220"/>
    </row>
    <row r="316" spans="1:7">
      <c r="A316" s="3213" t="s">
        <v>1156</v>
      </c>
      <c r="B316" s="3202" t="s">
        <v>3135</v>
      </c>
      <c r="C316" s="3214"/>
      <c r="D316" s="3214"/>
      <c r="E316" s="3214"/>
      <c r="F316" s="3203">
        <v>0.05</v>
      </c>
      <c r="G316" s="3220"/>
    </row>
    <row r="317" spans="1:7">
      <c r="A317" s="3213" t="s">
        <v>1156</v>
      </c>
      <c r="B317" s="3202" t="s">
        <v>3136</v>
      </c>
      <c r="C317" s="3214"/>
      <c r="D317" s="3214"/>
      <c r="E317" s="3214"/>
      <c r="F317" s="3203">
        <v>0.05</v>
      </c>
      <c r="G317" s="3220"/>
    </row>
    <row r="318" spans="1:7">
      <c r="A318" s="3213" t="s">
        <v>1156</v>
      </c>
      <c r="B318" s="3202" t="s">
        <v>3137</v>
      </c>
      <c r="C318" s="3214"/>
      <c r="D318" s="3214"/>
      <c r="E318" s="3214"/>
      <c r="F318" s="3203">
        <v>0.05</v>
      </c>
      <c r="G318" s="3220"/>
    </row>
    <row r="319" spans="1:7">
      <c r="A319" s="3213" t="s">
        <v>1156</v>
      </c>
      <c r="B319" s="3202" t="s">
        <v>3138</v>
      </c>
      <c r="C319" s="3214"/>
      <c r="D319" s="3214"/>
      <c r="E319" s="3214"/>
      <c r="F319" s="3203">
        <v>0.05</v>
      </c>
      <c r="G319" s="3220"/>
    </row>
    <row r="320" spans="1:7">
      <c r="A320" s="3213" t="s">
        <v>1156</v>
      </c>
      <c r="B320" s="3202" t="s">
        <v>3139</v>
      </c>
      <c r="C320" s="3214"/>
      <c r="D320" s="3214"/>
      <c r="E320" s="3214"/>
      <c r="F320" s="3203">
        <v>0.05</v>
      </c>
      <c r="G320" s="3220"/>
    </row>
    <row r="321" spans="1:7">
      <c r="A321" s="3213" t="s">
        <v>1156</v>
      </c>
      <c r="B321" s="3202" t="s">
        <v>3140</v>
      </c>
      <c r="C321" s="3214"/>
      <c r="D321" s="3214"/>
      <c r="E321" s="3214"/>
      <c r="F321" s="3203">
        <v>0.05</v>
      </c>
      <c r="G321" s="3220"/>
    </row>
    <row r="322" spans="1:7">
      <c r="A322" s="3213" t="s">
        <v>1156</v>
      </c>
      <c r="B322" s="3202" t="s">
        <v>3141</v>
      </c>
      <c r="C322" s="3214"/>
      <c r="D322" s="3214"/>
      <c r="E322" s="3214"/>
      <c r="F322" s="3203">
        <v>0.05</v>
      </c>
      <c r="G322" s="3220"/>
    </row>
    <row r="323" spans="1:7">
      <c r="A323" s="3213" t="s">
        <v>1156</v>
      </c>
      <c r="B323" s="3202" t="s">
        <v>3142</v>
      </c>
      <c r="C323" s="3214"/>
      <c r="D323" s="3214"/>
      <c r="E323" s="3214"/>
      <c r="F323" s="3203">
        <v>0.05</v>
      </c>
      <c r="G323" s="3220"/>
    </row>
    <row r="324" spans="1:7">
      <c r="A324" s="3213" t="s">
        <v>1156</v>
      </c>
      <c r="B324" s="3202" t="s">
        <v>3143</v>
      </c>
      <c r="C324" s="3214"/>
      <c r="D324" s="3214"/>
      <c r="E324" s="3214"/>
      <c r="F324" s="3203">
        <v>0.05</v>
      </c>
      <c r="G324" s="3220"/>
    </row>
    <row r="325" spans="1:7">
      <c r="A325" s="3213" t="s">
        <v>1156</v>
      </c>
      <c r="B325" s="3202" t="s">
        <v>3144</v>
      </c>
      <c r="C325" s="3214"/>
      <c r="D325" s="3214"/>
      <c r="E325" s="3214"/>
      <c r="F325" s="3203">
        <v>0.05</v>
      </c>
      <c r="G325" s="3220"/>
    </row>
    <row r="326" spans="1:7" ht="14.25" thickBot="1">
      <c r="A326" s="3216" t="s">
        <v>1156</v>
      </c>
      <c r="B326" s="3206" t="s">
        <v>3145</v>
      </c>
      <c r="C326" s="3208"/>
      <c r="D326" s="3208"/>
      <c r="E326" s="3208"/>
      <c r="F326" s="3207">
        <v>0.05</v>
      </c>
      <c r="G326" s="3221"/>
    </row>
    <row r="327" spans="1:7">
      <c r="A327" s="3212" t="s">
        <v>1157</v>
      </c>
      <c r="B327" s="3198" t="s">
        <v>3146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3147</v>
      </c>
      <c r="C329" s="3203">
        <v>0.15</v>
      </c>
      <c r="D329" s="3203">
        <v>0.15</v>
      </c>
      <c r="E329" s="3203">
        <v>0.15</v>
      </c>
      <c r="F329" s="3203">
        <v>0.15</v>
      </c>
      <c r="G329" s="3204">
        <v>0.15</v>
      </c>
    </row>
    <row r="330" spans="1:7">
      <c r="A330" s="3213" t="s">
        <v>1157</v>
      </c>
      <c r="B330" s="3202" t="s">
        <v>3148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2980</v>
      </c>
      <c r="C332" s="3203">
        <v>0.15</v>
      </c>
      <c r="D332" s="3203">
        <v>0.15</v>
      </c>
      <c r="E332" s="3203">
        <v>0.15</v>
      </c>
      <c r="F332" s="3203">
        <v>0.15</v>
      </c>
      <c r="G332" s="3204">
        <v>0.15</v>
      </c>
    </row>
    <row r="333" spans="1:7">
      <c r="A333" s="3213" t="s">
        <v>1157</v>
      </c>
      <c r="B333" s="3202" t="s">
        <v>3149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2982</v>
      </c>
      <c r="C336" s="3203">
        <v>0.15</v>
      </c>
      <c r="D336" s="3203">
        <v>0.15</v>
      </c>
      <c r="E336" s="3203">
        <v>0.15</v>
      </c>
      <c r="F336" s="3203">
        <v>0.14199999999999999</v>
      </c>
      <c r="G336" s="3204">
        <v>0.15</v>
      </c>
    </row>
    <row r="337" spans="1:7">
      <c r="A337" s="3213" t="s">
        <v>1157</v>
      </c>
      <c r="B337" s="3202" t="s">
        <v>3150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2986</v>
      </c>
      <c r="C345" s="3203">
        <v>0.15</v>
      </c>
      <c r="D345" s="3203">
        <v>0.15</v>
      </c>
      <c r="E345" s="3203">
        <v>0.15</v>
      </c>
      <c r="F345" s="3203">
        <v>0.13800000000000001</v>
      </c>
      <c r="G345" s="3204">
        <v>0.15</v>
      </c>
    </row>
    <row r="346" spans="1:7">
      <c r="A346" s="3213" t="s">
        <v>1157</v>
      </c>
      <c r="B346" s="3202" t="s">
        <v>3153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2988</v>
      </c>
      <c r="C348" s="3203">
        <v>0.15</v>
      </c>
      <c r="D348" s="3203">
        <v>0.15</v>
      </c>
      <c r="E348" s="3203">
        <v>0.15</v>
      </c>
      <c r="F348" s="3203">
        <v>0.14399999999999999</v>
      </c>
      <c r="G348" s="3204">
        <v>0.15</v>
      </c>
    </row>
    <row r="349" spans="1:7">
      <c r="A349" s="3213" t="s">
        <v>1157</v>
      </c>
      <c r="B349" s="3202" t="s">
        <v>2989</v>
      </c>
      <c r="C349" s="3203">
        <v>0.15</v>
      </c>
      <c r="D349" s="3203">
        <v>0.15</v>
      </c>
      <c r="E349" s="3203">
        <v>0.15</v>
      </c>
      <c r="F349" s="3203">
        <v>0.15</v>
      </c>
      <c r="G349" s="3204">
        <v>0.15</v>
      </c>
    </row>
    <row r="350" spans="1:7">
      <c r="A350" s="3213" t="s">
        <v>1157</v>
      </c>
      <c r="B350" s="3202" t="s">
        <v>3154</v>
      </c>
      <c r="C350" s="3203">
        <v>0.15</v>
      </c>
      <c r="D350" s="3203">
        <v>0.15</v>
      </c>
      <c r="E350" s="3203">
        <v>0.15</v>
      </c>
      <c r="F350" s="3203">
        <v>0.14699999999999999</v>
      </c>
      <c r="G350" s="3204">
        <v>0.15</v>
      </c>
    </row>
    <row r="351" spans="1:7">
      <c r="A351" s="3213" t="s">
        <v>1157</v>
      </c>
      <c r="B351" s="3202" t="s">
        <v>2991</v>
      </c>
      <c r="C351" s="3203">
        <v>0.15</v>
      </c>
      <c r="D351" s="3203">
        <v>0.15</v>
      </c>
      <c r="E351" s="3203">
        <v>0.15</v>
      </c>
      <c r="F351" s="3203">
        <v>0.13</v>
      </c>
      <c r="G351" s="3204">
        <v>0.15</v>
      </c>
    </row>
    <row r="352" spans="1:7">
      <c r="A352" s="3213" t="s">
        <v>1157</v>
      </c>
      <c r="B352" s="3202" t="s">
        <v>2992</v>
      </c>
      <c r="C352" s="3203">
        <v>0.15</v>
      </c>
      <c r="D352" s="3203">
        <v>0.15</v>
      </c>
      <c r="E352" s="3203">
        <v>0.15</v>
      </c>
      <c r="F352" s="3203">
        <v>0.14599999999999999</v>
      </c>
      <c r="G352" s="3204">
        <v>0.15</v>
      </c>
    </row>
    <row r="353" spans="1:7">
      <c r="A353" s="3213" t="s">
        <v>1157</v>
      </c>
      <c r="B353" s="3202" t="s">
        <v>3155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2994</v>
      </c>
      <c r="C355" s="3203">
        <v>0.15</v>
      </c>
      <c r="D355" s="3203">
        <v>0.15</v>
      </c>
      <c r="E355" s="3203">
        <v>0.15</v>
      </c>
      <c r="F355" s="3203">
        <v>0.15</v>
      </c>
      <c r="G355" s="3204">
        <v>0.15</v>
      </c>
    </row>
    <row r="356" spans="1:7">
      <c r="A356" s="3213" t="s">
        <v>1157</v>
      </c>
      <c r="B356" s="3202" t="s">
        <v>2995</v>
      </c>
      <c r="C356" s="3203">
        <v>0.15</v>
      </c>
      <c r="D356" s="3203">
        <v>0.15</v>
      </c>
      <c r="E356" s="3203">
        <v>0.15</v>
      </c>
      <c r="F356" s="3203">
        <v>0.15</v>
      </c>
      <c r="G356" s="3204">
        <v>0.15</v>
      </c>
    </row>
    <row r="357" spans="1:7" ht="14.25" thickBot="1">
      <c r="A357" s="3216" t="s">
        <v>1157</v>
      </c>
      <c r="B357" s="3206" t="s">
        <v>3156</v>
      </c>
      <c r="C357" s="3207">
        <v>0.126</v>
      </c>
      <c r="D357" s="3207">
        <v>0.127</v>
      </c>
      <c r="E357" s="3207">
        <v>0.14299999999999999</v>
      </c>
      <c r="F357" s="3207">
        <v>0.125</v>
      </c>
      <c r="G357" s="3209">
        <v>0.129</v>
      </c>
    </row>
    <row r="358" spans="1:7">
      <c r="A358" s="3212" t="s">
        <v>3157</v>
      </c>
      <c r="B358" s="3198" t="s">
        <v>3158</v>
      </c>
      <c r="C358" s="3199">
        <v>0.15</v>
      </c>
      <c r="D358" s="3199">
        <v>0.15</v>
      </c>
      <c r="E358" s="3199">
        <v>0.15</v>
      </c>
      <c r="F358" s="3199">
        <v>0.15</v>
      </c>
      <c r="G358" s="3200">
        <v>0.15</v>
      </c>
    </row>
    <row r="359" spans="1:7">
      <c r="A359" s="3213" t="s">
        <v>3157</v>
      </c>
      <c r="B359" s="3202" t="s">
        <v>3159</v>
      </c>
      <c r="C359" s="3203">
        <v>0.1</v>
      </c>
      <c r="D359" s="3203">
        <v>0.1</v>
      </c>
      <c r="E359" s="3203">
        <v>0.1</v>
      </c>
      <c r="F359" s="3203">
        <v>0.1</v>
      </c>
      <c r="G359" s="3204">
        <v>0.1</v>
      </c>
    </row>
    <row r="360" spans="1:7">
      <c r="A360" s="3213" t="s">
        <v>3157</v>
      </c>
      <c r="B360" s="3202" t="s">
        <v>3160</v>
      </c>
      <c r="C360" s="3203">
        <v>0.15</v>
      </c>
      <c r="D360" s="3203">
        <v>0.15</v>
      </c>
      <c r="E360" s="3203">
        <v>0.15</v>
      </c>
      <c r="F360" s="3203">
        <v>0.14899999999999999</v>
      </c>
      <c r="G360" s="3204">
        <v>0.15</v>
      </c>
    </row>
    <row r="361" spans="1:7">
      <c r="A361" s="3213" t="s">
        <v>3157</v>
      </c>
      <c r="B361" s="3202" t="s">
        <v>999</v>
      </c>
      <c r="C361" s="3203">
        <v>0.15</v>
      </c>
      <c r="D361" s="3203">
        <v>0.15</v>
      </c>
      <c r="E361" s="3203">
        <v>0.15</v>
      </c>
      <c r="F361" s="3203">
        <v>0.115</v>
      </c>
      <c r="G361" s="3204">
        <v>0.15</v>
      </c>
    </row>
    <row r="362" spans="1:7">
      <c r="A362" s="3213" t="s">
        <v>3157</v>
      </c>
      <c r="B362" s="3202" t="s">
        <v>3161</v>
      </c>
      <c r="C362" s="3203">
        <v>0.15</v>
      </c>
      <c r="D362" s="3203">
        <v>0.15</v>
      </c>
      <c r="E362" s="3203">
        <v>0.15</v>
      </c>
      <c r="F362" s="3203">
        <v>0.106</v>
      </c>
      <c r="G362" s="3204">
        <v>0.15</v>
      </c>
    </row>
    <row r="363" spans="1:7">
      <c r="A363" s="3213" t="s">
        <v>3157</v>
      </c>
      <c r="B363" s="3202" t="s">
        <v>3001</v>
      </c>
      <c r="C363" s="3203">
        <v>0.15</v>
      </c>
      <c r="D363" s="3203">
        <v>0.15</v>
      </c>
      <c r="E363" s="3203">
        <v>0.15</v>
      </c>
      <c r="F363" s="3203">
        <v>0.14699999999999999</v>
      </c>
      <c r="G363" s="3204">
        <v>0.15</v>
      </c>
    </row>
    <row r="364" spans="1:7">
      <c r="A364" s="3213" t="s">
        <v>3157</v>
      </c>
      <c r="B364" s="3202" t="s">
        <v>3162</v>
      </c>
      <c r="C364" s="3203">
        <v>0.15</v>
      </c>
      <c r="D364" s="3203">
        <v>0.15</v>
      </c>
      <c r="E364" s="3203">
        <v>0.15</v>
      </c>
      <c r="F364" s="3203">
        <v>0.14799999999999999</v>
      </c>
      <c r="G364" s="3204">
        <v>0.15</v>
      </c>
    </row>
    <row r="365" spans="1:7">
      <c r="A365" s="3213" t="s">
        <v>3157</v>
      </c>
      <c r="B365" s="3202" t="s">
        <v>1047</v>
      </c>
      <c r="C365" s="3203">
        <v>0.15</v>
      </c>
      <c r="D365" s="3203">
        <v>0.15</v>
      </c>
      <c r="E365" s="3203">
        <v>0.15</v>
      </c>
      <c r="F365" s="3203">
        <v>0.15</v>
      </c>
      <c r="G365" s="3204">
        <v>0.15</v>
      </c>
    </row>
    <row r="366" spans="1:7">
      <c r="A366" s="3213" t="s">
        <v>3157</v>
      </c>
      <c r="B366" s="3202" t="s">
        <v>3003</v>
      </c>
      <c r="C366" s="3203">
        <v>0.15</v>
      </c>
      <c r="D366" s="3203">
        <v>0.15</v>
      </c>
      <c r="E366" s="3203">
        <v>0.15</v>
      </c>
      <c r="F366" s="3203">
        <v>0.15</v>
      </c>
      <c r="G366" s="3204">
        <v>0.15</v>
      </c>
    </row>
    <row r="367" spans="1:7">
      <c r="A367" s="3213" t="s">
        <v>3157</v>
      </c>
      <c r="B367" s="3202" t="s">
        <v>3163</v>
      </c>
      <c r="C367" s="3203">
        <v>0.15</v>
      </c>
      <c r="D367" s="3203">
        <v>0.15</v>
      </c>
      <c r="E367" s="3203">
        <v>0.15</v>
      </c>
      <c r="F367" s="3203">
        <v>0.14699999999999999</v>
      </c>
      <c r="G367" s="3204">
        <v>0.15</v>
      </c>
    </row>
    <row r="368" spans="1:7">
      <c r="A368" s="3213" t="s">
        <v>3157</v>
      </c>
      <c r="B368" s="3202" t="s">
        <v>3164</v>
      </c>
      <c r="C368" s="3203">
        <v>0.15</v>
      </c>
      <c r="D368" s="3203">
        <v>0.15</v>
      </c>
      <c r="E368" s="3203">
        <v>0.15</v>
      </c>
      <c r="F368" s="3203">
        <v>0.13600000000000001</v>
      </c>
      <c r="G368" s="3204">
        <v>0.15</v>
      </c>
    </row>
    <row r="369" spans="1:7">
      <c r="A369" s="3213" t="s">
        <v>3157</v>
      </c>
      <c r="B369" s="3202" t="s">
        <v>1061</v>
      </c>
      <c r="C369" s="3203">
        <v>0.15</v>
      </c>
      <c r="D369" s="3203">
        <v>0.15</v>
      </c>
      <c r="E369" s="3203">
        <v>0.15</v>
      </c>
      <c r="F369" s="3203">
        <v>0.14399999999999999</v>
      </c>
      <c r="G369" s="3204">
        <v>0.15</v>
      </c>
    </row>
    <row r="370" spans="1:7">
      <c r="A370" s="3213" t="s">
        <v>3157</v>
      </c>
      <c r="B370" s="3202" t="s">
        <v>1069</v>
      </c>
      <c r="C370" s="3203">
        <v>0.15</v>
      </c>
      <c r="D370" s="3203">
        <v>0.15</v>
      </c>
      <c r="E370" s="3203">
        <v>0.15</v>
      </c>
      <c r="F370" s="3203">
        <v>0.14599999999999999</v>
      </c>
      <c r="G370" s="3204">
        <v>0.15</v>
      </c>
    </row>
    <row r="371" spans="1:7">
      <c r="A371" s="3213" t="s">
        <v>3157</v>
      </c>
      <c r="B371" s="3202" t="s">
        <v>1077</v>
      </c>
      <c r="C371" s="3203">
        <v>0.15</v>
      </c>
      <c r="D371" s="3203">
        <v>0.15</v>
      </c>
      <c r="E371" s="3203">
        <v>0.15</v>
      </c>
      <c r="F371" s="3203">
        <v>0.12</v>
      </c>
      <c r="G371" s="3204">
        <v>0.15</v>
      </c>
    </row>
    <row r="372" spans="1:7">
      <c r="A372" s="3213" t="s">
        <v>3157</v>
      </c>
      <c r="B372" s="3202" t="s">
        <v>3165</v>
      </c>
      <c r="C372" s="3203">
        <v>0.15</v>
      </c>
      <c r="D372" s="3203">
        <v>0.15</v>
      </c>
      <c r="E372" s="3203">
        <v>0.15</v>
      </c>
      <c r="F372" s="3203">
        <v>0.14299999999999999</v>
      </c>
      <c r="G372" s="3204">
        <v>0.15</v>
      </c>
    </row>
    <row r="373" spans="1:7">
      <c r="A373" s="3213" t="s">
        <v>3157</v>
      </c>
      <c r="B373" s="3202" t="s">
        <v>1106</v>
      </c>
      <c r="C373" s="3203">
        <v>0.15</v>
      </c>
      <c r="D373" s="3203">
        <v>0.15</v>
      </c>
      <c r="E373" s="3203">
        <v>0.15</v>
      </c>
      <c r="F373" s="3203">
        <v>0.14599999999999999</v>
      </c>
      <c r="G373" s="3204">
        <v>0.15</v>
      </c>
    </row>
    <row r="374" spans="1:7">
      <c r="A374" s="3213" t="s">
        <v>3157</v>
      </c>
      <c r="B374" s="3202" t="s">
        <v>1114</v>
      </c>
      <c r="C374" s="3203">
        <v>0.15</v>
      </c>
      <c r="D374" s="3203">
        <v>0.15</v>
      </c>
      <c r="E374" s="3203">
        <v>0.15</v>
      </c>
      <c r="F374" s="3203">
        <v>0.14399999999999999</v>
      </c>
      <c r="G374" s="3204">
        <v>0.15</v>
      </c>
    </row>
    <row r="375" spans="1:7">
      <c r="A375" s="3213" t="s">
        <v>3157</v>
      </c>
      <c r="B375" s="3202" t="s">
        <v>3166</v>
      </c>
      <c r="C375" s="3203">
        <v>0.15</v>
      </c>
      <c r="D375" s="3203">
        <v>0.15</v>
      </c>
      <c r="E375" s="3203">
        <v>0.15</v>
      </c>
      <c r="F375" s="3203">
        <v>0.13</v>
      </c>
      <c r="G375" s="3204">
        <v>0.15</v>
      </c>
    </row>
    <row r="376" spans="1:7">
      <c r="A376" s="3213" t="s">
        <v>3157</v>
      </c>
      <c r="B376" s="3202" t="s">
        <v>1126</v>
      </c>
      <c r="C376" s="3203">
        <v>0.15</v>
      </c>
      <c r="D376" s="3203">
        <v>0.15</v>
      </c>
      <c r="E376" s="3203">
        <v>0.15</v>
      </c>
      <c r="F376" s="3203">
        <v>0.14199999999999999</v>
      </c>
      <c r="G376" s="3204">
        <v>0.15</v>
      </c>
    </row>
    <row r="377" spans="1:7" ht="14.25" thickBot="1">
      <c r="A377" s="3216" t="s">
        <v>3157</v>
      </c>
      <c r="B377" s="3206" t="s">
        <v>3008</v>
      </c>
      <c r="C377" s="3207">
        <v>0.15</v>
      </c>
      <c r="D377" s="3207">
        <v>0.15</v>
      </c>
      <c r="E377" s="3207">
        <v>0.15</v>
      </c>
      <c r="F377" s="3207">
        <v>0.14000000000000001</v>
      </c>
      <c r="G377" s="3209">
        <v>0.15</v>
      </c>
    </row>
    <row r="378" spans="1:7">
      <c r="A378" s="3212" t="s">
        <v>3167</v>
      </c>
      <c r="B378" s="3198" t="s">
        <v>3168</v>
      </c>
      <c r="C378" s="3199">
        <v>0.15</v>
      </c>
      <c r="D378" s="3199">
        <v>0.15</v>
      </c>
      <c r="E378" s="3199">
        <v>0.15</v>
      </c>
      <c r="F378" s="3199">
        <v>0.107</v>
      </c>
      <c r="G378" s="3200">
        <v>0.15</v>
      </c>
    </row>
    <row r="379" spans="1:7">
      <c r="A379" s="3213" t="s">
        <v>3167</v>
      </c>
      <c r="B379" s="3202" t="s">
        <v>3169</v>
      </c>
      <c r="C379" s="3203">
        <v>0.15</v>
      </c>
      <c r="D379" s="3203">
        <v>0.15</v>
      </c>
      <c r="E379" s="3203">
        <v>0.15</v>
      </c>
      <c r="F379" s="3203">
        <v>0.115</v>
      </c>
      <c r="G379" s="3204">
        <v>0.14899999999999999</v>
      </c>
    </row>
    <row r="380" spans="1:7">
      <c r="A380" s="3213" t="s">
        <v>3170</v>
      </c>
      <c r="B380" s="3202" t="s">
        <v>3171</v>
      </c>
      <c r="C380" s="3203">
        <v>0.15</v>
      </c>
      <c r="D380" s="3203">
        <v>0.15</v>
      </c>
      <c r="E380" s="3203">
        <v>0.15</v>
      </c>
      <c r="F380" s="3203">
        <v>0.1</v>
      </c>
      <c r="G380" s="3204">
        <v>0.14799999999999999</v>
      </c>
    </row>
    <row r="381" spans="1:7">
      <c r="A381" s="3213" t="s">
        <v>3170</v>
      </c>
      <c r="B381" s="3202" t="s">
        <v>3172</v>
      </c>
      <c r="C381" s="3203">
        <v>0.15</v>
      </c>
      <c r="D381" s="3203">
        <v>0.15</v>
      </c>
      <c r="E381" s="3203">
        <v>0.15</v>
      </c>
      <c r="F381" s="3203">
        <v>0.126</v>
      </c>
      <c r="G381" s="3204">
        <v>0.15</v>
      </c>
    </row>
    <row r="382" spans="1:7">
      <c r="A382" s="3213" t="s">
        <v>3170</v>
      </c>
      <c r="B382" s="3202" t="s">
        <v>3173</v>
      </c>
      <c r="C382" s="3203">
        <v>0.15</v>
      </c>
      <c r="D382" s="3203">
        <v>0.15</v>
      </c>
      <c r="E382" s="3203">
        <v>0.15</v>
      </c>
      <c r="F382" s="3203">
        <v>0.15</v>
      </c>
      <c r="G382" s="3204">
        <v>0.15</v>
      </c>
    </row>
    <row r="383" spans="1:7">
      <c r="A383" s="3213" t="s">
        <v>3170</v>
      </c>
      <c r="B383" s="3202" t="s">
        <v>3174</v>
      </c>
      <c r="C383" s="3203">
        <v>0.15</v>
      </c>
      <c r="D383" s="3203">
        <v>0.15</v>
      </c>
      <c r="E383" s="3203">
        <v>0.15</v>
      </c>
      <c r="F383" s="3203">
        <v>0.14699999999999999</v>
      </c>
      <c r="G383" s="3204">
        <v>0.15</v>
      </c>
    </row>
    <row r="384" spans="1:7" ht="14.25" thickBot="1">
      <c r="A384" s="3223" t="s">
        <v>3170</v>
      </c>
      <c r="B384" s="3224" t="s">
        <v>3175</v>
      </c>
      <c r="C384" s="3225">
        <v>0.15</v>
      </c>
      <c r="D384" s="3225">
        <v>0.15</v>
      </c>
      <c r="E384" s="3225">
        <v>0.15</v>
      </c>
      <c r="F384" s="3225">
        <v>0.15</v>
      </c>
      <c r="G384" s="3226">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805" t="s">
        <v>1858</v>
      </c>
      <c r="C1" s="3805"/>
      <c r="D1" s="3805"/>
      <c r="E1" s="3805"/>
      <c r="F1" s="3805"/>
      <c r="G1" s="3804" t="s">
        <v>1859</v>
      </c>
      <c r="H1" s="3804"/>
      <c r="I1" s="3804"/>
      <c r="J1" s="3804"/>
      <c r="K1" s="3804"/>
      <c r="L1" s="3804"/>
      <c r="N1" s="3804" t="s">
        <v>1860</v>
      </c>
      <c r="O1" s="3804"/>
      <c r="P1" s="3804"/>
      <c r="Q1" s="3804"/>
      <c r="S1" s="3804" t="s">
        <v>1861</v>
      </c>
      <c r="T1" s="3804"/>
      <c r="U1" s="3804"/>
      <c r="V1" s="3804"/>
      <c r="X1" s="3803" t="s">
        <v>1921</v>
      </c>
      <c r="Y1" s="3804"/>
      <c r="Z1" s="3804"/>
      <c r="AA1" s="3804"/>
      <c r="AB1" s="3804"/>
      <c r="AD1" s="3803" t="s">
        <v>1925</v>
      </c>
      <c r="AE1" s="3804"/>
      <c r="AF1" s="3804"/>
      <c r="AG1" s="3804"/>
      <c r="AH1" s="3804"/>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807">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807"/>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807"/>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813"/>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812">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807"/>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807"/>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813"/>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812">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807"/>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807"/>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808"/>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806">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807"/>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807"/>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808"/>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806">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807"/>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807"/>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808"/>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809">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810"/>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810"/>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811"/>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806">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807"/>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807"/>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808"/>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806">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807">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807">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808">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806">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807">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807">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808">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806">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807">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807">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808">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806">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807">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807">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808">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806">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807">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807">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808">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806">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807">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807">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808">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806">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807">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807">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808">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806">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807">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807">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808">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806">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807">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807">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808">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806">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807">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807">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808">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3260</v>
      </c>
      <c r="C1" s="3087"/>
      <c r="D1" s="3087"/>
      <c r="E1" s="3087"/>
      <c r="F1" s="3087"/>
      <c r="G1" s="3087"/>
      <c r="H1" s="3087"/>
      <c r="I1" s="3087"/>
      <c r="J1" s="3088"/>
      <c r="K1" s="3087" t="s">
        <v>2781</v>
      </c>
      <c r="L1" s="3087"/>
      <c r="M1" s="3087"/>
      <c r="N1" s="3087"/>
      <c r="O1" s="3087"/>
      <c r="P1" s="3087"/>
      <c r="Q1" s="3088"/>
      <c r="R1" s="3814" t="s">
        <v>2789</v>
      </c>
      <c r="S1" s="3815"/>
      <c r="T1" s="3815"/>
      <c r="U1" s="3815"/>
      <c r="V1" s="3815"/>
      <c r="W1" s="3815"/>
      <c r="X1" s="3088"/>
      <c r="Y1" s="3814" t="s">
        <v>2800</v>
      </c>
      <c r="Z1" s="3815"/>
      <c r="AA1" s="3815"/>
      <c r="AB1" s="3815"/>
      <c r="AC1" s="3815"/>
      <c r="AD1" s="3815"/>
    </row>
    <row r="2" spans="1:30" ht="14.25" thickBot="1">
      <c r="A2" s="3081"/>
      <c r="B2" s="3089"/>
      <c r="C2" s="3090"/>
      <c r="D2" s="2422" t="s">
        <v>2783</v>
      </c>
      <c r="E2" s="2423" t="s">
        <v>2784</v>
      </c>
      <c r="F2" s="2423" t="s">
        <v>2785</v>
      </c>
      <c r="G2" s="2423" t="s">
        <v>2786</v>
      </c>
      <c r="H2" s="2423" t="s">
        <v>2787</v>
      </c>
      <c r="I2" s="2423" t="s">
        <v>2729</v>
      </c>
      <c r="J2" s="3091"/>
      <c r="K2" s="2422" t="s">
        <v>2783</v>
      </c>
      <c r="L2" s="2423" t="s">
        <v>2784</v>
      </c>
      <c r="M2" s="2423" t="s">
        <v>2785</v>
      </c>
      <c r="N2" s="2423" t="s">
        <v>2786</v>
      </c>
      <c r="O2" s="2423" t="s">
        <v>2787</v>
      </c>
      <c r="P2" s="2423" t="s">
        <v>2729</v>
      </c>
      <c r="Q2" s="3091"/>
      <c r="R2" s="2422" t="s">
        <v>2790</v>
      </c>
      <c r="S2" s="2423" t="s">
        <v>2791</v>
      </c>
      <c r="T2" s="2423" t="s">
        <v>2792</v>
      </c>
      <c r="U2" s="2423" t="s">
        <v>2793</v>
      </c>
      <c r="V2" s="2423" t="s">
        <v>2794</v>
      </c>
      <c r="W2" s="2423" t="s">
        <v>2795</v>
      </c>
      <c r="X2" s="3091"/>
      <c r="Y2" s="2422" t="s">
        <v>2783</v>
      </c>
      <c r="Z2" s="2423" t="s">
        <v>1470</v>
      </c>
      <c r="AA2" s="2423" t="s">
        <v>2801</v>
      </c>
      <c r="AB2" s="2423" t="s">
        <v>1469</v>
      </c>
      <c r="AC2" s="2423" t="s">
        <v>2787</v>
      </c>
      <c r="AD2" s="2423" t="s">
        <v>2446</v>
      </c>
    </row>
    <row r="3" spans="1:30">
      <c r="A3" s="3082" t="s">
        <v>2772</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8"/>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3255</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3256</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3248</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3257</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3251</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3246</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3245</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3243</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3241</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3239</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3236</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3237</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2775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2776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2777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3262</v>
      </c>
    </row>
    <row r="24" spans="1:30">
      <c r="I24" s="2744" t="s">
        <v>2788</v>
      </c>
    </row>
    <row r="26" spans="1:30">
      <c r="A26" s="2438"/>
      <c r="B26" s="3086" t="s">
        <v>3261</v>
      </c>
      <c r="C26" s="3087"/>
      <c r="D26" s="3087"/>
      <c r="E26" s="3087"/>
      <c r="F26" s="3087"/>
      <c r="G26" s="3087"/>
      <c r="H26" s="3087"/>
      <c r="I26" s="3087"/>
      <c r="J26" s="3088"/>
      <c r="K26" s="3087" t="s">
        <v>2781</v>
      </c>
      <c r="L26" s="3087"/>
      <c r="M26" s="3087"/>
      <c r="N26" s="3087"/>
      <c r="O26" s="3087"/>
      <c r="P26" s="3087"/>
      <c r="Q26" s="3088"/>
      <c r="R26" s="3814" t="s">
        <v>2796</v>
      </c>
      <c r="S26" s="3815"/>
      <c r="T26" s="3815"/>
      <c r="U26" s="3815"/>
      <c r="V26" s="3815"/>
      <c r="W26" s="3815"/>
      <c r="X26" s="3088"/>
      <c r="Y26" s="3814" t="s">
        <v>1925</v>
      </c>
      <c r="Z26" s="3815"/>
      <c r="AA26" s="3815"/>
      <c r="AB26" s="3815"/>
      <c r="AC26" s="3815"/>
      <c r="AD26" s="3815"/>
    </row>
    <row r="27" spans="1:30" ht="14.25" thickBot="1">
      <c r="A27" s="3081"/>
      <c r="B27" s="3089"/>
      <c r="C27" s="3090"/>
      <c r="D27" s="2422" t="s">
        <v>2783</v>
      </c>
      <c r="E27" s="2423" t="s">
        <v>2784</v>
      </c>
      <c r="F27" s="2423" t="s">
        <v>2785</v>
      </c>
      <c r="G27" s="2423" t="s">
        <v>1469</v>
      </c>
      <c r="H27" s="2423"/>
      <c r="I27" s="2423" t="s">
        <v>2729</v>
      </c>
      <c r="J27" s="3091"/>
      <c r="K27" s="2422" t="s">
        <v>2783</v>
      </c>
      <c r="L27" s="2423" t="s">
        <v>2784</v>
      </c>
      <c r="M27" s="2423" t="s">
        <v>2785</v>
      </c>
      <c r="N27" s="2423" t="s">
        <v>2786</v>
      </c>
      <c r="O27" s="2423"/>
      <c r="P27" s="2423" t="s">
        <v>2729</v>
      </c>
      <c r="Q27" s="3091"/>
      <c r="R27" s="2422" t="s">
        <v>2797</v>
      </c>
      <c r="S27" s="2423" t="s">
        <v>2798</v>
      </c>
      <c r="T27" s="2423" t="s">
        <v>2785</v>
      </c>
      <c r="U27" s="2423" t="s">
        <v>1469</v>
      </c>
      <c r="V27" s="2423"/>
      <c r="W27" s="2423" t="s">
        <v>2799</v>
      </c>
      <c r="X27" s="3091"/>
      <c r="Y27" s="2422" t="s">
        <v>2782</v>
      </c>
      <c r="Z27" s="2423" t="s">
        <v>2784</v>
      </c>
      <c r="AA27" s="2423" t="s">
        <v>2785</v>
      </c>
      <c r="AB27" s="2423" t="s">
        <v>1469</v>
      </c>
      <c r="AC27" s="2423"/>
      <c r="AD27" s="2423" t="s">
        <v>2802</v>
      </c>
    </row>
    <row r="28" spans="1:30">
      <c r="A28" s="3082" t="s">
        <v>2778</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8"/>
      <c r="B29" s="3097"/>
      <c r="C29" s="2438"/>
      <c r="D29" s="2438"/>
      <c r="E29" s="2438"/>
      <c r="F29" s="2438"/>
      <c r="G29" s="2438"/>
      <c r="H29" s="2438"/>
      <c r="I29" s="2438"/>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3255</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3258</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3249</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3259</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3252</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3247</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3245</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3244</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3242</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3240</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3238</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3237</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2775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2779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3263</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2202</v>
      </c>
      <c r="B1" s="2742"/>
      <c r="C1" s="2742"/>
      <c r="D1" s="2742"/>
      <c r="E1" s="2742"/>
      <c r="F1" s="2742"/>
      <c r="G1" s="2743"/>
      <c r="H1" s="2743"/>
      <c r="I1" s="2743"/>
      <c r="J1" s="2743"/>
      <c r="K1" s="2743"/>
      <c r="L1" s="2743"/>
      <c r="M1" s="2743"/>
      <c r="N1" s="2743"/>
    </row>
    <row r="2" spans="1:14" ht="14.25">
      <c r="A2" s="2748" t="s">
        <v>2197</v>
      </c>
      <c r="B2" s="2753">
        <f ca="1">SUMIF(B7:B14,"&lt;&gt;#ref!",B7:B14)</f>
        <v>0</v>
      </c>
      <c r="C2" s="2748" t="s">
        <v>2198</v>
      </c>
      <c r="D2" s="2745"/>
      <c r="E2" s="2745"/>
      <c r="F2" s="2745"/>
      <c r="G2" s="2743"/>
      <c r="H2" s="2743"/>
      <c r="I2" s="2743"/>
      <c r="J2" s="2743"/>
      <c r="K2" s="2743"/>
      <c r="L2" s="2743"/>
      <c r="M2" s="2743"/>
      <c r="N2" s="2743"/>
    </row>
    <row r="3" spans="1:14" ht="14.25">
      <c r="A3" s="2748" t="s">
        <v>2226</v>
      </c>
      <c r="B3" s="2753" t="e">
        <f ca="1">ROUND(B2*10000/E3,0)</f>
        <v>#DIV/0!</v>
      </c>
      <c r="C3" s="2748" t="s">
        <v>1596</v>
      </c>
      <c r="D3" s="2748" t="s">
        <v>2199</v>
      </c>
      <c r="E3" s="2746">
        <f ca="1">SUMIF(E7:E14,"&lt;&gt;#ref!",E7:E14)</f>
        <v>0</v>
      </c>
      <c r="F3" s="2745"/>
      <c r="G3" s="2743"/>
      <c r="H3" s="2743"/>
      <c r="I3" s="2743"/>
      <c r="J3" s="2743"/>
      <c r="K3" s="2743"/>
      <c r="L3" s="2743"/>
      <c r="M3" s="2743"/>
      <c r="N3" s="2743"/>
    </row>
    <row r="4" spans="1:14" ht="14.25">
      <c r="A4" s="2748" t="s">
        <v>2205</v>
      </c>
      <c r="B4" s="2753" t="e">
        <f ca="1">ROUND(B2*10000/E4,0)</f>
        <v>#DIV/0!</v>
      </c>
      <c r="C4" s="2748" t="s">
        <v>1596</v>
      </c>
      <c r="D4" s="2748" t="s">
        <v>2206</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2203</v>
      </c>
      <c r="B6" s="2748" t="s">
        <v>2200</v>
      </c>
      <c r="C6" s="2353"/>
      <c r="D6" s="2745"/>
      <c r="E6" s="2748" t="s">
        <v>2201</v>
      </c>
      <c r="F6" s="2748" t="s">
        <v>2204</v>
      </c>
      <c r="G6" s="2743"/>
      <c r="H6" s="2743"/>
      <c r="I6" s="2743"/>
      <c r="J6" s="2743"/>
      <c r="K6" s="2743"/>
      <c r="L6" s="2743"/>
      <c r="M6" s="2743"/>
      <c r="N6" s="2743"/>
    </row>
    <row r="7" spans="1:14" ht="14.25">
      <c r="A7" s="2751"/>
      <c r="B7" s="2753" t="e">
        <f ca="1">SUMIF(INDIRECT("'"&amp;A7&amp;"'"&amp;"!A:A"),"总价",INDIRECT("'"&amp;A7&amp;"'"&amp;"!B:B"))</f>
        <v>#REF!</v>
      </c>
      <c r="C7" s="2748" t="s">
        <v>2198</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2198</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2198</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2198</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2198</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2198</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2198</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2198</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5"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F3" zoomScaleNormal="60" zoomScaleSheetLayoutView="100" workbookViewId="0">
      <selection activeCell="N15" sqref="N15"/>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3729</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400894</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84180</v>
      </c>
      <c r="C3" s="785" t="s">
        <v>669</v>
      </c>
      <c r="D3" s="784">
        <f>SUMIF('数据-汇总表'!$C19:$C33,D1,'数据-汇总表'!$E19:$E33)</f>
        <v>47623.45</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36" t="s">
        <v>471</v>
      </c>
      <c r="D4" s="3737"/>
      <c r="E4" s="3763" t="s">
        <v>472</v>
      </c>
      <c r="F4" s="3764"/>
      <c r="G4" s="3736" t="s">
        <v>473</v>
      </c>
      <c r="H4" s="3737"/>
      <c r="I4" s="3736" t="s">
        <v>474</v>
      </c>
      <c r="J4" s="3737"/>
      <c r="K4" s="786" t="s">
        <v>475</v>
      </c>
      <c r="L4" s="1739"/>
      <c r="M4" s="1740"/>
      <c r="N4" s="1740"/>
      <c r="O4" s="1740"/>
      <c r="P4" s="3738" t="s">
        <v>476</v>
      </c>
      <c r="Q4" s="3739"/>
      <c r="R4" s="3722" t="s">
        <v>472</v>
      </c>
      <c r="S4" s="3723"/>
      <c r="T4" s="3722" t="s">
        <v>473</v>
      </c>
      <c r="U4" s="3723"/>
      <c r="V4" s="3744" t="s">
        <v>474</v>
      </c>
      <c r="W4" s="3744"/>
      <c r="X4" s="1300"/>
      <c r="Y4" s="3722" t="s">
        <v>476</v>
      </c>
      <c r="Z4" s="3723"/>
      <c r="AA4" s="3717" t="s">
        <v>472</v>
      </c>
      <c r="AB4" s="3717" t="s">
        <v>473</v>
      </c>
      <c r="AC4" s="3717" t="s">
        <v>474</v>
      </c>
    </row>
    <row r="5" spans="1:29" ht="15" customHeight="1">
      <c r="A5" s="465"/>
      <c r="B5" s="466"/>
      <c r="C5" s="3747" t="s">
        <v>2183</v>
      </c>
      <c r="D5" s="3748"/>
      <c r="E5" s="3816" t="s">
        <v>3713</v>
      </c>
      <c r="F5" s="3748"/>
      <c r="G5" s="3816" t="s">
        <v>3722</v>
      </c>
      <c r="H5" s="3748"/>
      <c r="I5" s="3816" t="s">
        <v>3767</v>
      </c>
      <c r="J5" s="3748"/>
      <c r="K5" s="787"/>
      <c r="L5" s="3532" t="s">
        <v>3766</v>
      </c>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45" t="s">
        <v>3714</v>
      </c>
      <c r="F6" s="3746"/>
      <c r="G6" s="3745" t="s">
        <v>3714</v>
      </c>
      <c r="H6" s="3746"/>
      <c r="I6" s="3816" t="s">
        <v>3768</v>
      </c>
      <c r="J6" s="3748"/>
      <c r="K6" s="787"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20" t="s">
        <v>479</v>
      </c>
      <c r="Q7" s="3729"/>
      <c r="R7" s="1301" t="s">
        <v>10</v>
      </c>
      <c r="S7" s="1302">
        <f t="shared" ref="S7:S15" si="0">F7</f>
        <v>100</v>
      </c>
      <c r="T7" s="1301" t="s">
        <v>10</v>
      </c>
      <c r="U7" s="1302">
        <f t="shared" ref="U7:U15" si="1">H7</f>
        <v>100</v>
      </c>
      <c r="V7" s="1301" t="s">
        <v>10</v>
      </c>
      <c r="W7" s="1302">
        <f t="shared" ref="W7:W15" si="2">J7</f>
        <v>100</v>
      </c>
      <c r="X7" s="1303"/>
      <c r="Y7" s="3720" t="s">
        <v>479</v>
      </c>
      <c r="Z7" s="3721"/>
      <c r="AA7" s="994">
        <f>D7/F7</f>
        <v>1</v>
      </c>
      <c r="AB7" s="994">
        <f>D7/H7</f>
        <v>1</v>
      </c>
      <c r="AC7" s="994">
        <f>D7/J7</f>
        <v>1</v>
      </c>
    </row>
    <row r="8" spans="1:29" s="1057" customFormat="1" ht="15.75" thickBot="1">
      <c r="A8" s="2208"/>
      <c r="B8" s="2215"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20" t="s">
        <v>482</v>
      </c>
      <c r="Q8" s="3721"/>
      <c r="R8" s="1301" t="s">
        <v>10</v>
      </c>
      <c r="S8" s="1302">
        <f t="shared" si="0"/>
        <v>100</v>
      </c>
      <c r="T8" s="1301" t="s">
        <v>10</v>
      </c>
      <c r="U8" s="1302">
        <f t="shared" si="1"/>
        <v>100</v>
      </c>
      <c r="V8" s="1301" t="s">
        <v>10</v>
      </c>
      <c r="W8" s="1302">
        <f t="shared" si="2"/>
        <v>100</v>
      </c>
      <c r="X8" s="1303"/>
      <c r="Y8" s="3720" t="s">
        <v>482</v>
      </c>
      <c r="Z8" s="3721"/>
      <c r="AA8" s="994">
        <f t="shared" ref="AA8:AA46" si="3">D8/F8</f>
        <v>1</v>
      </c>
      <c r="AB8" s="994">
        <f t="shared" ref="AB8:AB46" si="4">D8/H8</f>
        <v>1</v>
      </c>
      <c r="AC8" s="994">
        <f t="shared" ref="AC8:AC46" si="5">D8/J8</f>
        <v>1</v>
      </c>
    </row>
    <row r="9" spans="1:29" s="1057" customFormat="1" ht="15">
      <c r="A9" s="2209"/>
      <c r="B9" s="2216"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3" t="s">
        <v>3715</v>
      </c>
      <c r="F10" s="476">
        <f>SUMIF(65:65,E10,66:66)-SUMIF(65:65,C10,66:66)+100</f>
        <v>100</v>
      </c>
      <c r="G10" s="3383" t="s">
        <v>3715</v>
      </c>
      <c r="H10" s="234">
        <f>SUMIF(65:65,G10,66:66)-SUMIF(65:65,C10,66:66)+100</f>
        <v>100</v>
      </c>
      <c r="I10" s="3383" t="s">
        <v>3715</v>
      </c>
      <c r="J10" s="234">
        <f>SUMIF(65:65,I10,66:66)-SUMIF(65:65,C10,66:66)+100</f>
        <v>100</v>
      </c>
      <c r="K10" s="788"/>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f>'比较法-住宅、综合'!C13</f>
        <v>2.2000000000000002</v>
      </c>
      <c r="D11" s="234">
        <v>100</v>
      </c>
      <c r="E11" s="482">
        <v>2.4</v>
      </c>
      <c r="F11" s="476">
        <f>LOOKUP(E11,68:68,69:69)-LOOKUP(C11,68:68,69:69)+100</f>
        <v>100</v>
      </c>
      <c r="G11" s="482">
        <v>2.4</v>
      </c>
      <c r="H11" s="234">
        <f>LOOKUP(G11,68:68,69:69)-LOOKUP(C11,68:68,69:69)+100</f>
        <v>100</v>
      </c>
      <c r="I11" s="482">
        <v>1.8</v>
      </c>
      <c r="J11" s="234">
        <f>LOOKUP(I11,68:68,69:69)-LOOKUP(C11,68:68,69:69)+100</f>
        <v>102</v>
      </c>
      <c r="K11" s="793">
        <v>2</v>
      </c>
      <c r="L11" s="1745"/>
      <c r="M11" s="1740"/>
      <c r="N11" s="1740"/>
      <c r="O11" s="1746"/>
      <c r="P11" s="3728"/>
      <c r="Q11" s="815" t="str">
        <f t="shared" si="6"/>
        <v>容积率</v>
      </c>
      <c r="R11" s="1301" t="s">
        <v>8</v>
      </c>
      <c r="S11" s="1302">
        <f t="shared" si="0"/>
        <v>100</v>
      </c>
      <c r="T11" s="1301" t="s">
        <v>8</v>
      </c>
      <c r="U11" s="1302">
        <f t="shared" si="1"/>
        <v>100</v>
      </c>
      <c r="V11" s="1301" t="s">
        <v>8</v>
      </c>
      <c r="W11" s="1302">
        <f t="shared" si="2"/>
        <v>102</v>
      </c>
      <c r="X11" s="1303"/>
      <c r="Y11" s="3680"/>
      <c r="Z11" s="994" t="str">
        <f t="shared" si="7"/>
        <v>容积率</v>
      </c>
      <c r="AA11" s="994">
        <f t="shared" si="3"/>
        <v>1</v>
      </c>
      <c r="AB11" s="994">
        <f t="shared" si="4"/>
        <v>1</v>
      </c>
      <c r="AC11" s="994">
        <f t="shared" si="5"/>
        <v>0.98039215686274506</v>
      </c>
    </row>
    <row r="12" spans="1:29" s="1057"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28"/>
      <c r="Q12" s="815">
        <f t="shared" si="6"/>
        <v>111</v>
      </c>
      <c r="R12" s="1301" t="s">
        <v>8</v>
      </c>
      <c r="S12" s="1302">
        <f t="shared" si="0"/>
        <v>100</v>
      </c>
      <c r="T12" s="1301" t="s">
        <v>8</v>
      </c>
      <c r="U12" s="1302">
        <f t="shared" si="1"/>
        <v>100</v>
      </c>
      <c r="V12" s="1301" t="s">
        <v>8</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28"/>
      <c r="Q13" s="815">
        <f t="shared" si="6"/>
        <v>111</v>
      </c>
      <c r="R13" s="1301" t="s">
        <v>8</v>
      </c>
      <c r="S13" s="1302">
        <f t="shared" si="0"/>
        <v>100</v>
      </c>
      <c r="T13" s="1301" t="s">
        <v>8</v>
      </c>
      <c r="U13" s="1302">
        <f t="shared" si="1"/>
        <v>100</v>
      </c>
      <c r="V13" s="1301" t="s">
        <v>8</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28"/>
      <c r="Q14" s="815">
        <f t="shared" si="6"/>
        <v>111</v>
      </c>
      <c r="R14" s="1301" t="s">
        <v>8</v>
      </c>
      <c r="S14" s="1302">
        <f t="shared" si="0"/>
        <v>100</v>
      </c>
      <c r="T14" s="1301" t="s">
        <v>8</v>
      </c>
      <c r="U14" s="1302">
        <f t="shared" si="1"/>
        <v>100</v>
      </c>
      <c r="V14" s="1301" t="s">
        <v>8</v>
      </c>
      <c r="W14" s="1302">
        <f t="shared" si="2"/>
        <v>100</v>
      </c>
      <c r="X14" s="1303"/>
      <c r="Y14" s="3680"/>
      <c r="Z14" s="994">
        <f t="shared" si="7"/>
        <v>111</v>
      </c>
      <c r="AA14" s="994">
        <f t="shared" si="3"/>
        <v>1</v>
      </c>
      <c r="AB14" s="994">
        <f t="shared" si="4"/>
        <v>1</v>
      </c>
      <c r="AC14" s="994">
        <f t="shared" si="5"/>
        <v>1</v>
      </c>
    </row>
    <row r="15" spans="1:29" ht="142.5">
      <c r="A15" s="2205"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100</v>
      </c>
      <c r="K15" s="797">
        <v>2</v>
      </c>
      <c r="L15" s="1747"/>
      <c r="M15" s="1740"/>
      <c r="N15" s="1740"/>
      <c r="O15" s="1746"/>
      <c r="P15" s="3730" t="s">
        <v>489</v>
      </c>
      <c r="Q15" s="1304" t="str">
        <f t="shared" si="6"/>
        <v>居住社区成熟度</v>
      </c>
      <c r="R15" s="1305" t="s">
        <v>8</v>
      </c>
      <c r="S15" s="1306">
        <f t="shared" si="0"/>
        <v>100</v>
      </c>
      <c r="T15" s="1305" t="s">
        <v>8</v>
      </c>
      <c r="U15" s="1306">
        <f t="shared" si="1"/>
        <v>100</v>
      </c>
      <c r="V15" s="1305" t="s">
        <v>8</v>
      </c>
      <c r="W15" s="1306">
        <f t="shared" si="2"/>
        <v>100</v>
      </c>
      <c r="X15" s="1300"/>
      <c r="Y15" s="3730" t="s">
        <v>489</v>
      </c>
      <c r="Z15" s="1307" t="str">
        <f t="shared" si="7"/>
        <v>居住社区成熟度</v>
      </c>
      <c r="AA15" s="1307">
        <f t="shared" si="3"/>
        <v>1</v>
      </c>
      <c r="AB15" s="1307">
        <f t="shared" si="4"/>
        <v>1</v>
      </c>
      <c r="AC15" s="1307">
        <f t="shared" si="5"/>
        <v>1</v>
      </c>
    </row>
    <row r="16" spans="1:29" ht="15">
      <c r="A16" s="481"/>
      <c r="B16" s="798"/>
      <c r="C16" s="525" t="s">
        <v>3686</v>
      </c>
      <c r="D16" s="504"/>
      <c r="E16" s="525" t="s">
        <v>3686</v>
      </c>
      <c r="F16" s="506"/>
      <c r="G16" s="525" t="s">
        <v>3686</v>
      </c>
      <c r="H16" s="508"/>
      <c r="I16" s="525" t="s">
        <v>3686</v>
      </c>
      <c r="J16" s="504"/>
      <c r="K16" s="799"/>
      <c r="L16" s="1747"/>
      <c r="M16" s="1740"/>
      <c r="N16" s="1740"/>
      <c r="O16" s="1746"/>
      <c r="P16" s="3731"/>
      <c r="Q16" s="1304"/>
      <c r="R16" s="1305"/>
      <c r="S16" s="1306"/>
      <c r="T16" s="1305"/>
      <c r="U16" s="1306"/>
      <c r="V16" s="1305"/>
      <c r="W16" s="1306"/>
      <c r="X16" s="1300"/>
      <c r="Y16" s="3731"/>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31"/>
      <c r="Q17" s="1304" t="str">
        <f>B17</f>
        <v>交通便捷度</v>
      </c>
      <c r="R17" s="1305" t="s">
        <v>8</v>
      </c>
      <c r="S17" s="1306">
        <f>F17</f>
        <v>97</v>
      </c>
      <c r="T17" s="1305" t="s">
        <v>8</v>
      </c>
      <c r="U17" s="1306">
        <f>H17</f>
        <v>97</v>
      </c>
      <c r="V17" s="1305" t="s">
        <v>8</v>
      </c>
      <c r="W17" s="1306">
        <f>J17</f>
        <v>97</v>
      </c>
      <c r="X17" s="1300"/>
      <c r="Y17" s="3731"/>
      <c r="Z17" s="1307" t="str">
        <f>Q17</f>
        <v>交通便捷度</v>
      </c>
      <c r="AA17" s="1307">
        <f t="shared" si="3"/>
        <v>1.0309278350515463</v>
      </c>
      <c r="AB17" s="1307">
        <f t="shared" si="4"/>
        <v>1.0309278350515463</v>
      </c>
      <c r="AC17" s="1307">
        <f t="shared" si="5"/>
        <v>1.0309278350515463</v>
      </c>
    </row>
    <row r="18" spans="1:29" ht="15">
      <c r="A18" s="481"/>
      <c r="B18" s="543"/>
      <c r="C18" s="801" t="s">
        <v>3685</v>
      </c>
      <c r="D18" s="508"/>
      <c r="E18" s="525" t="s">
        <v>3686</v>
      </c>
      <c r="F18" s="512"/>
      <c r="G18" s="525" t="s">
        <v>3686</v>
      </c>
      <c r="H18" s="504"/>
      <c r="I18" s="525" t="s">
        <v>3686</v>
      </c>
      <c r="J18" s="504"/>
      <c r="K18" s="799"/>
      <c r="L18" s="1747"/>
      <c r="M18" s="1740"/>
      <c r="N18" s="1740"/>
      <c r="O18" s="1746"/>
      <c r="P18" s="3731"/>
      <c r="Q18" s="1304"/>
      <c r="R18" s="1305"/>
      <c r="S18" s="1306"/>
      <c r="T18" s="1305"/>
      <c r="U18" s="1306"/>
      <c r="V18" s="1305"/>
      <c r="W18" s="1306"/>
      <c r="X18" s="1300"/>
      <c r="Y18" s="3731"/>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100</v>
      </c>
      <c r="K19" s="797">
        <f>'比较法-住宅、综合'!K29</f>
        <v>2</v>
      </c>
      <c r="L19" s="1747"/>
      <c r="M19" s="1740"/>
      <c r="N19" s="1740"/>
      <c r="O19" s="1746"/>
      <c r="P19" s="3731"/>
      <c r="Q19" s="1304" t="str">
        <f>B19</f>
        <v>公共配套设施</v>
      </c>
      <c r="R19" s="1305" t="s">
        <v>8</v>
      </c>
      <c r="S19" s="1306">
        <f>F19</f>
        <v>100</v>
      </c>
      <c r="T19" s="1305" t="s">
        <v>8</v>
      </c>
      <c r="U19" s="1306">
        <f>H19</f>
        <v>100</v>
      </c>
      <c r="V19" s="1305" t="s">
        <v>8</v>
      </c>
      <c r="W19" s="1306">
        <f>J19</f>
        <v>100</v>
      </c>
      <c r="X19" s="1300"/>
      <c r="Y19" s="3731"/>
      <c r="Z19" s="1307" t="str">
        <f>Q19</f>
        <v>公共配套设施</v>
      </c>
      <c r="AA19" s="1307">
        <f t="shared" si="3"/>
        <v>1</v>
      </c>
      <c r="AB19" s="1307">
        <f t="shared" si="4"/>
        <v>1</v>
      </c>
      <c r="AC19" s="1307">
        <f t="shared" si="5"/>
        <v>1</v>
      </c>
    </row>
    <row r="20" spans="1:29" ht="15">
      <c r="A20" s="481"/>
      <c r="B20" s="543"/>
      <c r="C20" s="525" t="s">
        <v>3686</v>
      </c>
      <c r="D20" s="504"/>
      <c r="E20" s="525" t="s">
        <v>3686</v>
      </c>
      <c r="F20" s="506"/>
      <c r="G20" s="525" t="s">
        <v>3686</v>
      </c>
      <c r="H20" s="504"/>
      <c r="I20" s="525" t="s">
        <v>3686</v>
      </c>
      <c r="J20" s="504"/>
      <c r="K20" s="799"/>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31"/>
      <c r="Q21" s="1304" t="str">
        <f>B21</f>
        <v>基础设施水平</v>
      </c>
      <c r="R21" s="1305" t="s">
        <v>8</v>
      </c>
      <c r="S21" s="1306">
        <f>F21</f>
        <v>100</v>
      </c>
      <c r="T21" s="1305" t="s">
        <v>8</v>
      </c>
      <c r="U21" s="1306">
        <f>H21</f>
        <v>100</v>
      </c>
      <c r="V21" s="1305" t="s">
        <v>8</v>
      </c>
      <c r="W21" s="1306">
        <f>J21</f>
        <v>100</v>
      </c>
      <c r="X21" s="1300"/>
      <c r="Y21" s="3731"/>
      <c r="Z21" s="1307" t="str">
        <f>Q21</f>
        <v>基础设施水平</v>
      </c>
      <c r="AA21" s="1307">
        <f>D21/F21</f>
        <v>1</v>
      </c>
      <c r="AB21" s="1307">
        <f>D21/H21</f>
        <v>1</v>
      </c>
      <c r="AC21" s="1307">
        <f>D21/J21</f>
        <v>1</v>
      </c>
    </row>
    <row r="22" spans="1:29" ht="15">
      <c r="A22" s="481"/>
      <c r="B22" s="841"/>
      <c r="C22" s="801" t="s">
        <v>3679</v>
      </c>
      <c r="D22" s="504"/>
      <c r="E22" s="801" t="s">
        <v>3679</v>
      </c>
      <c r="F22" s="506"/>
      <c r="G22" s="801" t="s">
        <v>3679</v>
      </c>
      <c r="H22" s="504"/>
      <c r="I22" s="801" t="s">
        <v>3679</v>
      </c>
      <c r="J22" s="504"/>
      <c r="K22" s="2056"/>
      <c r="L22" s="1747"/>
      <c r="M22" s="1740"/>
      <c r="N22" s="1740"/>
      <c r="O22" s="1746"/>
      <c r="P22" s="3731"/>
      <c r="Q22" s="1304"/>
      <c r="R22" s="1305"/>
      <c r="S22" s="1306"/>
      <c r="T22" s="1305"/>
      <c r="U22" s="1306"/>
      <c r="V22" s="1305"/>
      <c r="W22" s="1306"/>
      <c r="X22" s="1300"/>
      <c r="Y22" s="3731"/>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100</v>
      </c>
      <c r="K23" s="797">
        <f>'比较法-住宅、综合'!K27</f>
        <v>2</v>
      </c>
      <c r="L23" s="1747"/>
      <c r="M23" s="1740"/>
      <c r="N23" s="1740"/>
      <c r="O23" s="1746"/>
      <c r="P23" s="3731"/>
      <c r="Q23" s="1304" t="str">
        <f>B23</f>
        <v>自然及人文环境</v>
      </c>
      <c r="R23" s="1305" t="s">
        <v>8</v>
      </c>
      <c r="S23" s="1306">
        <f>F23</f>
        <v>100</v>
      </c>
      <c r="T23" s="1305" t="s">
        <v>8</v>
      </c>
      <c r="U23" s="1306">
        <f>H23</f>
        <v>100</v>
      </c>
      <c r="V23" s="1305" t="s">
        <v>8</v>
      </c>
      <c r="W23" s="1306">
        <f>J23</f>
        <v>100</v>
      </c>
      <c r="X23" s="1300"/>
      <c r="Y23" s="3731"/>
      <c r="Z23" s="1307" t="str">
        <f>Q23</f>
        <v>自然及人文环境</v>
      </c>
      <c r="AA23" s="1307">
        <f t="shared" si="3"/>
        <v>1</v>
      </c>
      <c r="AB23" s="1307">
        <f t="shared" si="4"/>
        <v>1</v>
      </c>
      <c r="AC23" s="1307">
        <f t="shared" si="5"/>
        <v>1</v>
      </c>
    </row>
    <row r="24" spans="1:29" ht="15">
      <c r="A24" s="481"/>
      <c r="B24" s="543"/>
      <c r="C24" s="525" t="s">
        <v>3686</v>
      </c>
      <c r="D24" s="504"/>
      <c r="E24" s="525" t="s">
        <v>3686</v>
      </c>
      <c r="F24" s="506"/>
      <c r="G24" s="525" t="s">
        <v>3686</v>
      </c>
      <c r="H24" s="504"/>
      <c r="I24" s="525" t="s">
        <v>3686</v>
      </c>
      <c r="J24" s="504"/>
      <c r="K24" s="799"/>
      <c r="L24" s="1747"/>
      <c r="M24" s="1740"/>
      <c r="N24" s="1740"/>
      <c r="O24" s="1746"/>
      <c r="P24" s="3731"/>
      <c r="Q24" s="1304"/>
      <c r="R24" s="1305"/>
      <c r="S24" s="1306"/>
      <c r="T24" s="1305"/>
      <c r="U24" s="1306"/>
      <c r="V24" s="1305"/>
      <c r="W24" s="1306"/>
      <c r="X24" s="1300"/>
      <c r="Y24" s="3731"/>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31"/>
      <c r="Q25" s="1304" t="str">
        <f t="shared" ref="Q25:Q46" si="8">B25</f>
        <v>楼层-1</v>
      </c>
      <c r="R25" s="1305" t="s">
        <v>8</v>
      </c>
      <c r="S25" s="1306">
        <f>F25</f>
        <v>100</v>
      </c>
      <c r="T25" s="1305" t="s">
        <v>8</v>
      </c>
      <c r="U25" s="1306">
        <f>H25</f>
        <v>100</v>
      </c>
      <c r="V25" s="1305" t="s">
        <v>8</v>
      </c>
      <c r="W25" s="1306">
        <f>J25</f>
        <v>100</v>
      </c>
      <c r="X25" s="1300"/>
      <c r="Y25" s="3731"/>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31"/>
      <c r="Q26" s="1304" t="str">
        <f t="shared" si="8"/>
        <v>朝向</v>
      </c>
      <c r="R26" s="1305" t="s">
        <v>8</v>
      </c>
      <c r="S26" s="1306">
        <f>F26</f>
        <v>100</v>
      </c>
      <c r="T26" s="1305" t="s">
        <v>8</v>
      </c>
      <c r="U26" s="1306">
        <f>H26</f>
        <v>100</v>
      </c>
      <c r="V26" s="1305" t="s">
        <v>8</v>
      </c>
      <c r="W26" s="1306">
        <f>J26</f>
        <v>100</v>
      </c>
      <c r="X26" s="1300"/>
      <c r="Y26" s="3731"/>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31"/>
      <c r="Q27" s="815" t="str">
        <f t="shared" si="8"/>
        <v>道路级别</v>
      </c>
      <c r="R27" s="1301" t="s">
        <v>8</v>
      </c>
      <c r="S27" s="1302">
        <f>F27</f>
        <v>100</v>
      </c>
      <c r="T27" s="1301" t="s">
        <v>8</v>
      </c>
      <c r="U27" s="1302">
        <f>H27</f>
        <v>100</v>
      </c>
      <c r="V27" s="1301" t="s">
        <v>8</v>
      </c>
      <c r="W27" s="1302">
        <f>J27</f>
        <v>100</v>
      </c>
      <c r="X27" s="1303"/>
      <c r="Y27" s="3731"/>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31"/>
      <c r="Q28" s="1304">
        <f t="shared" si="8"/>
        <v>111</v>
      </c>
      <c r="R28" s="1305" t="s">
        <v>8</v>
      </c>
      <c r="S28" s="1306">
        <f t="shared" ref="S28:S46" si="9">F28</f>
        <v>100</v>
      </c>
      <c r="T28" s="1305" t="s">
        <v>8</v>
      </c>
      <c r="U28" s="1306">
        <f t="shared" ref="U28:U46" si="10">H28</f>
        <v>100</v>
      </c>
      <c r="V28" s="1305" t="s">
        <v>8</v>
      </c>
      <c r="W28" s="1306">
        <f t="shared" ref="W28:W46" si="11">J28</f>
        <v>100</v>
      </c>
      <c r="X28" s="1300"/>
      <c r="Y28" s="3731"/>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31"/>
      <c r="Q29" s="1304">
        <f t="shared" si="8"/>
        <v>111</v>
      </c>
      <c r="R29" s="1305" t="s">
        <v>8</v>
      </c>
      <c r="S29" s="1306">
        <f t="shared" si="9"/>
        <v>100</v>
      </c>
      <c r="T29" s="1305" t="s">
        <v>8</v>
      </c>
      <c r="U29" s="1306">
        <f t="shared" si="10"/>
        <v>100</v>
      </c>
      <c r="V29" s="1305" t="s">
        <v>8</v>
      </c>
      <c r="W29" s="1306">
        <f t="shared" si="11"/>
        <v>100</v>
      </c>
      <c r="X29" s="1300"/>
      <c r="Y29" s="3731"/>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31"/>
      <c r="Q30" s="1304">
        <f t="shared" si="8"/>
        <v>111</v>
      </c>
      <c r="R30" s="1305" t="s">
        <v>8</v>
      </c>
      <c r="S30" s="1306">
        <f t="shared" si="9"/>
        <v>100</v>
      </c>
      <c r="T30" s="1305" t="s">
        <v>8</v>
      </c>
      <c r="U30" s="1306">
        <f t="shared" si="10"/>
        <v>100</v>
      </c>
      <c r="V30" s="1305" t="s">
        <v>8</v>
      </c>
      <c r="W30" s="1306">
        <f t="shared" si="11"/>
        <v>100</v>
      </c>
      <c r="X30" s="1300"/>
      <c r="Y30" s="3731"/>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31"/>
      <c r="Q31" s="1304">
        <f t="shared" si="8"/>
        <v>111</v>
      </c>
      <c r="R31" s="1305" t="s">
        <v>8</v>
      </c>
      <c r="S31" s="1306">
        <f t="shared" si="9"/>
        <v>100</v>
      </c>
      <c r="T31" s="1305" t="s">
        <v>8</v>
      </c>
      <c r="U31" s="1306">
        <f t="shared" si="10"/>
        <v>100</v>
      </c>
      <c r="V31" s="1305" t="s">
        <v>8</v>
      </c>
      <c r="W31" s="1306">
        <f t="shared" si="11"/>
        <v>100</v>
      </c>
      <c r="X31" s="1300"/>
      <c r="Y31" s="3731"/>
      <c r="Z31" s="1307">
        <f t="shared" si="12"/>
        <v>111</v>
      </c>
      <c r="AA31" s="1307">
        <f t="shared" si="3"/>
        <v>1</v>
      </c>
      <c r="AB31" s="1307">
        <f t="shared" si="4"/>
        <v>1</v>
      </c>
      <c r="AC31" s="1307">
        <f t="shared" si="5"/>
        <v>1</v>
      </c>
    </row>
    <row r="32" spans="1:29" ht="15">
      <c r="A32" s="2202" t="s">
        <v>2037</v>
      </c>
      <c r="B32" s="155" t="s">
        <v>672</v>
      </c>
      <c r="C32" s="803" t="s">
        <v>3716</v>
      </c>
      <c r="D32" s="545">
        <v>100</v>
      </c>
      <c r="E32" s="803" t="s">
        <v>3716</v>
      </c>
      <c r="F32" s="524">
        <f>SUMIF(100:100,E32,101:101)-SUMIF(100:100,C32,101:101)+100</f>
        <v>100</v>
      </c>
      <c r="G32" s="803" t="s">
        <v>3716</v>
      </c>
      <c r="H32" s="545">
        <f>SUMIF(100:100,G32,101:101)-SUMIF(100:100,C32,101:101)+100</f>
        <v>100</v>
      </c>
      <c r="I32" s="804" t="s">
        <v>3716</v>
      </c>
      <c r="J32" s="489">
        <f>SUMIF(100:100,I32,101:101)-SUMIF(100:100,C32,101:101)+100</f>
        <v>100</v>
      </c>
      <c r="K32" s="793">
        <v>2</v>
      </c>
      <c r="L32" s="1747"/>
      <c r="M32" s="1740"/>
      <c r="N32" s="1740"/>
      <c r="O32" s="1746"/>
      <c r="P32" s="3732" t="s">
        <v>499</v>
      </c>
      <c r="Q32" s="1304" t="str">
        <f t="shared" si="8"/>
        <v>建筑类型</v>
      </c>
      <c r="R32" s="1305" t="s">
        <v>8</v>
      </c>
      <c r="S32" s="1306">
        <f t="shared" si="9"/>
        <v>100</v>
      </c>
      <c r="T32" s="1305" t="s">
        <v>8</v>
      </c>
      <c r="U32" s="1306">
        <f t="shared" si="10"/>
        <v>100</v>
      </c>
      <c r="V32" s="1305" t="s">
        <v>8</v>
      </c>
      <c r="W32" s="1306">
        <f t="shared" si="11"/>
        <v>100</v>
      </c>
      <c r="X32" s="1300"/>
      <c r="Y32" s="3733" t="s">
        <v>499</v>
      </c>
      <c r="Z32" s="1307" t="str">
        <f t="shared" si="12"/>
        <v>建筑类型</v>
      </c>
      <c r="AA32" s="1307">
        <f t="shared" si="3"/>
        <v>1</v>
      </c>
      <c r="AB32" s="1307">
        <f t="shared" si="4"/>
        <v>1</v>
      </c>
      <c r="AC32" s="1307">
        <f t="shared" si="5"/>
        <v>1</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45482.71</v>
      </c>
      <c r="J33" s="234">
        <f>LOOKUP(I33,103:103,104:104)-LOOKUP(C33,103:103,104:104)+100</f>
        <v>98</v>
      </c>
      <c r="K33" s="794"/>
      <c r="L33" s="1745"/>
      <c r="M33" s="1769"/>
      <c r="N33" s="1769"/>
      <c r="O33" s="1748"/>
      <c r="P33" s="3733"/>
      <c r="Q33" s="816" t="str">
        <f t="shared" si="8"/>
        <v>项目建筑规模</v>
      </c>
      <c r="R33" s="1308" t="s">
        <v>8</v>
      </c>
      <c r="S33" s="1309">
        <f t="shared" si="9"/>
        <v>100</v>
      </c>
      <c r="T33" s="1308" t="s">
        <v>8</v>
      </c>
      <c r="U33" s="1309">
        <f t="shared" si="10"/>
        <v>100</v>
      </c>
      <c r="V33" s="1308" t="s">
        <v>8</v>
      </c>
      <c r="W33" s="1309">
        <f t="shared" si="11"/>
        <v>98</v>
      </c>
      <c r="X33" s="1310"/>
      <c r="Y33" s="3733"/>
      <c r="Z33" s="1311" t="str">
        <f t="shared" si="12"/>
        <v>项目建筑规模</v>
      </c>
      <c r="AA33" s="1307">
        <f t="shared" si="3"/>
        <v>1</v>
      </c>
      <c r="AB33" s="1307">
        <f t="shared" si="4"/>
        <v>1</v>
      </c>
      <c r="AC33" s="1307">
        <f t="shared" si="5"/>
        <v>1.0204081632653061</v>
      </c>
    </row>
    <row r="34" spans="1:29" ht="15">
      <c r="A34" s="542"/>
      <c r="B34" s="476" t="s">
        <v>674</v>
      </c>
      <c r="C34" s="523" t="s">
        <v>3717</v>
      </c>
      <c r="D34" s="489">
        <v>100</v>
      </c>
      <c r="E34" s="523" t="s">
        <v>3717</v>
      </c>
      <c r="F34" s="524">
        <f>SUMIF(105:105,E34,106:106)-SUMIF(105:105,C34,106:106)+100</f>
        <v>100</v>
      </c>
      <c r="G34" s="523" t="s">
        <v>3717</v>
      </c>
      <c r="H34" s="489">
        <f>SUMIF(105:105,G34,106:106)-SUMIF(105:105,C34,106:106)+100</f>
        <v>100</v>
      </c>
      <c r="I34" s="523" t="s">
        <v>3717</v>
      </c>
      <c r="J34" s="489">
        <f>SUMIF(105:105,I34,106:106)-SUMIF(105:105,C34,106:106)+100</f>
        <v>100</v>
      </c>
      <c r="K34" s="793">
        <v>2</v>
      </c>
      <c r="L34" s="1747"/>
      <c r="M34" s="1740"/>
      <c r="N34" s="1740"/>
      <c r="O34" s="1746"/>
      <c r="P34" s="3733"/>
      <c r="Q34" s="1304" t="str">
        <f t="shared" si="8"/>
        <v>建筑结构</v>
      </c>
      <c r="R34" s="1305" t="s">
        <v>8</v>
      </c>
      <c r="S34" s="1306">
        <f t="shared" si="9"/>
        <v>100</v>
      </c>
      <c r="T34" s="1305" t="s">
        <v>8</v>
      </c>
      <c r="U34" s="1306">
        <f t="shared" si="10"/>
        <v>100</v>
      </c>
      <c r="V34" s="1305" t="s">
        <v>8</v>
      </c>
      <c r="W34" s="1306">
        <f t="shared" si="11"/>
        <v>100</v>
      </c>
      <c r="X34" s="1300"/>
      <c r="Y34" s="3733"/>
      <c r="Z34" s="1307" t="str">
        <f t="shared" si="12"/>
        <v>建筑结构</v>
      </c>
      <c r="AA34" s="1307">
        <f t="shared" si="3"/>
        <v>1</v>
      </c>
      <c r="AB34" s="1307">
        <f t="shared" si="4"/>
        <v>1</v>
      </c>
      <c r="AC34" s="1307">
        <f t="shared" si="5"/>
        <v>1</v>
      </c>
    </row>
    <row r="35" spans="1:29" ht="15">
      <c r="A35" s="542"/>
      <c r="B35" s="476" t="s">
        <v>675</v>
      </c>
      <c r="C35" s="547" t="s">
        <v>3718</v>
      </c>
      <c r="D35" s="489">
        <v>100</v>
      </c>
      <c r="E35" s="547" t="s">
        <v>3718</v>
      </c>
      <c r="F35" s="524">
        <f>SUMIF(107:107,E35,108:108)-SUMIF(107:107,C35,108:108)+100</f>
        <v>100</v>
      </c>
      <c r="G35" s="547" t="s">
        <v>3718</v>
      </c>
      <c r="H35" s="489">
        <f>SUMIF(107:107,G35,108:108)-SUMIF(107:107,C35,108:108)+100</f>
        <v>100</v>
      </c>
      <c r="I35" s="547" t="s">
        <v>3718</v>
      </c>
      <c r="J35" s="489">
        <f>SUMIF(107:107,I35,108:108)-SUMIF(107:107,C35,108:108)+100</f>
        <v>100</v>
      </c>
      <c r="K35" s="793">
        <v>2</v>
      </c>
      <c r="L35" s="1747"/>
      <c r="M35" s="1740"/>
      <c r="N35" s="1740"/>
      <c r="O35" s="1746"/>
      <c r="P35" s="3733"/>
      <c r="Q35" s="1304" t="str">
        <f t="shared" si="8"/>
        <v>建筑品质</v>
      </c>
      <c r="R35" s="1305" t="s">
        <v>8</v>
      </c>
      <c r="S35" s="1306">
        <f t="shared" si="9"/>
        <v>100</v>
      </c>
      <c r="T35" s="1305" t="s">
        <v>8</v>
      </c>
      <c r="U35" s="1306">
        <f t="shared" si="10"/>
        <v>100</v>
      </c>
      <c r="V35" s="1305" t="s">
        <v>8</v>
      </c>
      <c r="W35" s="1306">
        <f t="shared" si="11"/>
        <v>100</v>
      </c>
      <c r="X35" s="1300"/>
      <c r="Y35" s="3733"/>
      <c r="Z35" s="1307" t="str">
        <f t="shared" si="12"/>
        <v>建筑品质</v>
      </c>
      <c r="AA35" s="1307">
        <f t="shared" si="3"/>
        <v>1</v>
      </c>
      <c r="AB35" s="1307">
        <f t="shared" si="4"/>
        <v>1</v>
      </c>
      <c r="AC35" s="1307">
        <f t="shared" si="5"/>
        <v>1</v>
      </c>
    </row>
    <row r="36" spans="1:29" ht="15">
      <c r="A36" s="542"/>
      <c r="B36" s="476" t="s">
        <v>676</v>
      </c>
      <c r="C36" s="547" t="s">
        <v>3719</v>
      </c>
      <c r="D36" s="489">
        <v>100</v>
      </c>
      <c r="E36" s="547" t="s">
        <v>3719</v>
      </c>
      <c r="F36" s="524">
        <f>SUMIF(109:109,E36,110:110)-SUMIF(109:109,C36,110:110)+100</f>
        <v>100</v>
      </c>
      <c r="G36" s="547" t="s">
        <v>3719</v>
      </c>
      <c r="H36" s="489">
        <f>SUMIF(109:109,G36,110:110)-SUMIF(109:109,C36,110:110)+100</f>
        <v>100</v>
      </c>
      <c r="I36" s="547" t="s">
        <v>3719</v>
      </c>
      <c r="J36" s="489">
        <f>SUMIF(109:109,I36,110:110)-SUMIF(109:109,C36,110:110)+100</f>
        <v>100</v>
      </c>
      <c r="K36" s="793">
        <v>1</v>
      </c>
      <c r="L36" s="1747"/>
      <c r="M36" s="1740"/>
      <c r="N36" s="1740"/>
      <c r="O36" s="1746"/>
      <c r="P36" s="3733"/>
      <c r="Q36" s="1304" t="str">
        <f t="shared" si="8"/>
        <v>公共部分装修</v>
      </c>
      <c r="R36" s="1305" t="s">
        <v>8</v>
      </c>
      <c r="S36" s="1306">
        <f t="shared" si="9"/>
        <v>100</v>
      </c>
      <c r="T36" s="1305" t="s">
        <v>8</v>
      </c>
      <c r="U36" s="1306">
        <f t="shared" si="10"/>
        <v>100</v>
      </c>
      <c r="V36" s="1305" t="s">
        <v>8</v>
      </c>
      <c r="W36" s="1306">
        <f t="shared" si="11"/>
        <v>100</v>
      </c>
      <c r="X36" s="1300"/>
      <c r="Y36" s="3733"/>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33"/>
      <c r="Q37" s="815" t="str">
        <f t="shared" si="8"/>
        <v>成新度</v>
      </c>
      <c r="R37" s="1301" t="s">
        <v>8</v>
      </c>
      <c r="S37" s="1302">
        <f t="shared" si="9"/>
        <v>100</v>
      </c>
      <c r="T37" s="1301" t="s">
        <v>8</v>
      </c>
      <c r="U37" s="1302">
        <f t="shared" si="10"/>
        <v>100</v>
      </c>
      <c r="V37" s="1301" t="s">
        <v>8</v>
      </c>
      <c r="W37" s="1302">
        <f t="shared" si="11"/>
        <v>100</v>
      </c>
      <c r="X37" s="1303"/>
      <c r="Y37" s="3733"/>
      <c r="Z37" s="994" t="str">
        <f t="shared" si="12"/>
        <v>成新度</v>
      </c>
      <c r="AA37" s="994">
        <f t="shared" si="3"/>
        <v>1</v>
      </c>
      <c r="AB37" s="994">
        <f t="shared" si="4"/>
        <v>1</v>
      </c>
      <c r="AC37" s="994">
        <f t="shared" si="5"/>
        <v>1</v>
      </c>
    </row>
    <row r="38" spans="1:29" ht="15">
      <c r="A38" s="542"/>
      <c r="B38" s="476" t="s">
        <v>678</v>
      </c>
      <c r="C38" s="547" t="s">
        <v>3720</v>
      </c>
      <c r="D38" s="489">
        <v>100</v>
      </c>
      <c r="E38" s="547" t="s">
        <v>3720</v>
      </c>
      <c r="F38" s="524">
        <f>SUMIF(114:114,E38,115:115)-SUMIF(114:114,C38,115:115)+100</f>
        <v>100</v>
      </c>
      <c r="G38" s="547" t="s">
        <v>3720</v>
      </c>
      <c r="H38" s="489">
        <f>SUMIF(114:114,G38,115:115)-SUMIF(114:114,C38,115:115)+100</f>
        <v>100</v>
      </c>
      <c r="I38" s="547" t="s">
        <v>3720</v>
      </c>
      <c r="J38" s="489">
        <f>SUMIF(114:114,I38,115:115)-SUMIF(114:114,C38,115:115)+100</f>
        <v>100</v>
      </c>
      <c r="K38" s="793">
        <v>2</v>
      </c>
      <c r="L38" s="1747"/>
      <c r="M38" s="1740"/>
      <c r="N38" s="1740"/>
      <c r="O38" s="1746"/>
      <c r="P38" s="3733" t="s">
        <v>499</v>
      </c>
      <c r="Q38" s="1304" t="str">
        <f t="shared" si="8"/>
        <v>物业管理</v>
      </c>
      <c r="R38" s="1305" t="s">
        <v>8</v>
      </c>
      <c r="S38" s="1306">
        <f t="shared" si="9"/>
        <v>100</v>
      </c>
      <c r="T38" s="1305" t="s">
        <v>8</v>
      </c>
      <c r="U38" s="1306">
        <f t="shared" si="10"/>
        <v>100</v>
      </c>
      <c r="V38" s="1305" t="s">
        <v>8</v>
      </c>
      <c r="W38" s="1306">
        <f t="shared" si="11"/>
        <v>100</v>
      </c>
      <c r="X38" s="1300"/>
      <c r="Y38" s="3733" t="s">
        <v>499</v>
      </c>
      <c r="Z38" s="1307" t="str">
        <f t="shared" si="12"/>
        <v>物业管理</v>
      </c>
      <c r="AA38" s="1307">
        <f t="shared" si="3"/>
        <v>1</v>
      </c>
      <c r="AB38" s="1307">
        <f t="shared" si="4"/>
        <v>1</v>
      </c>
      <c r="AC38" s="1307">
        <f t="shared" si="5"/>
        <v>1</v>
      </c>
    </row>
    <row r="39" spans="1:29" ht="15">
      <c r="A39" s="542"/>
      <c r="B39" s="1552" t="s">
        <v>1847</v>
      </c>
      <c r="C39" s="547" t="s">
        <v>3679</v>
      </c>
      <c r="D39" s="489">
        <v>100</v>
      </c>
      <c r="E39" s="547" t="s">
        <v>3679</v>
      </c>
      <c r="F39" s="524">
        <f>SUMIF(116:116,E39,117:117)-SUMIF(116:116,C39,117:117)+100</f>
        <v>100</v>
      </c>
      <c r="G39" s="547" t="s">
        <v>3679</v>
      </c>
      <c r="H39" s="489">
        <f>SUMIF(116:116,G39,117:117)-SUMIF(116:116,C39,117:117)+100</f>
        <v>100</v>
      </c>
      <c r="I39" s="547" t="s">
        <v>3679</v>
      </c>
      <c r="J39" s="489">
        <f>SUMIF(116:116,I39,117:117)-SUMIF(116:116,C39,117:117)+100</f>
        <v>100</v>
      </c>
      <c r="K39" s="793">
        <v>1</v>
      </c>
      <c r="L39" s="1747"/>
      <c r="M39" s="1740"/>
      <c r="N39" s="1740"/>
      <c r="O39" s="1746"/>
      <c r="P39" s="3733"/>
      <c r="Q39" s="1304" t="str">
        <f t="shared" si="8"/>
        <v>市政基础设施</v>
      </c>
      <c r="R39" s="1305" t="s">
        <v>8</v>
      </c>
      <c r="S39" s="1306">
        <f t="shared" si="9"/>
        <v>100</v>
      </c>
      <c r="T39" s="1305" t="s">
        <v>8</v>
      </c>
      <c r="U39" s="1306">
        <f t="shared" si="10"/>
        <v>100</v>
      </c>
      <c r="V39" s="1305" t="s">
        <v>8</v>
      </c>
      <c r="W39" s="1306">
        <f t="shared" si="11"/>
        <v>100</v>
      </c>
      <c r="X39" s="1300"/>
      <c r="Y39" s="3733"/>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33"/>
      <c r="Q40" s="1304" t="str">
        <f t="shared" si="8"/>
        <v>房型</v>
      </c>
      <c r="R40" s="1305" t="s">
        <v>8</v>
      </c>
      <c r="S40" s="1306">
        <f t="shared" si="9"/>
        <v>100</v>
      </c>
      <c r="T40" s="1305" t="s">
        <v>8</v>
      </c>
      <c r="U40" s="1306">
        <f t="shared" si="10"/>
        <v>100</v>
      </c>
      <c r="V40" s="1305" t="s">
        <v>8</v>
      </c>
      <c r="W40" s="1306">
        <f t="shared" si="11"/>
        <v>100</v>
      </c>
      <c r="X40" s="1300"/>
      <c r="Y40" s="3733"/>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33"/>
      <c r="Q41" s="816" t="str">
        <f t="shared" si="8"/>
        <v>单套/主力户型建筑面积</v>
      </c>
      <c r="R41" s="1308" t="s">
        <v>8</v>
      </c>
      <c r="S41" s="1309">
        <f t="shared" si="9"/>
        <v>100</v>
      </c>
      <c r="T41" s="1308" t="s">
        <v>8</v>
      </c>
      <c r="U41" s="1309">
        <f t="shared" si="10"/>
        <v>100</v>
      </c>
      <c r="V41" s="1308" t="s">
        <v>8</v>
      </c>
      <c r="W41" s="1309">
        <f t="shared" si="11"/>
        <v>100</v>
      </c>
      <c r="X41" s="1310"/>
      <c r="Y41" s="3733"/>
      <c r="Z41" s="1311" t="str">
        <f t="shared" si="12"/>
        <v>单套/主力户型建筑面积</v>
      </c>
      <c r="AA41" s="1307">
        <f t="shared" si="3"/>
        <v>1</v>
      </c>
      <c r="AB41" s="1307">
        <f t="shared" si="4"/>
        <v>1</v>
      </c>
      <c r="AC41" s="1307">
        <f t="shared" si="5"/>
        <v>1</v>
      </c>
    </row>
    <row r="42" spans="1:29" ht="15">
      <c r="A42" s="542"/>
      <c r="B42" s="476" t="s">
        <v>681</v>
      </c>
      <c r="C42" s="547" t="s">
        <v>3719</v>
      </c>
      <c r="D42" s="489">
        <v>100</v>
      </c>
      <c r="E42" s="547" t="s">
        <v>3719</v>
      </c>
      <c r="F42" s="524">
        <f>SUMIF(122:122,E42,123:123)-SUMIF(122:122,C42,123:123)+100</f>
        <v>100</v>
      </c>
      <c r="G42" s="547" t="s">
        <v>3719</v>
      </c>
      <c r="H42" s="489">
        <f>SUMIF(122:122,G42,123:123)-SUMIF(122:122,C42,123:123)+100</f>
        <v>100</v>
      </c>
      <c r="I42" s="802" t="s">
        <v>3719</v>
      </c>
      <c r="J42" s="489">
        <f>SUMIF(122:122,I42,123:123)-SUMIF(122:122,C42,123:123)+100</f>
        <v>100</v>
      </c>
      <c r="K42" s="793">
        <v>1</v>
      </c>
      <c r="L42" s="1747"/>
      <c r="M42" s="1740"/>
      <c r="N42" s="1740"/>
      <c r="O42" s="1746"/>
      <c r="P42" s="3733"/>
      <c r="Q42" s="1304" t="str">
        <f t="shared" si="8"/>
        <v>内部装修</v>
      </c>
      <c r="R42" s="1305" t="s">
        <v>8</v>
      </c>
      <c r="S42" s="1306">
        <f t="shared" si="9"/>
        <v>100</v>
      </c>
      <c r="T42" s="1305" t="s">
        <v>8</v>
      </c>
      <c r="U42" s="1306">
        <f t="shared" si="10"/>
        <v>100</v>
      </c>
      <c r="V42" s="1305" t="s">
        <v>8</v>
      </c>
      <c r="W42" s="1306">
        <f t="shared" si="11"/>
        <v>100</v>
      </c>
      <c r="X42" s="1300"/>
      <c r="Y42" s="3733"/>
      <c r="Z42" s="1307" t="str">
        <f t="shared" si="12"/>
        <v>内部装修</v>
      </c>
      <c r="AA42" s="1307">
        <f t="shared" si="3"/>
        <v>1</v>
      </c>
      <c r="AB42" s="1307">
        <f t="shared" si="4"/>
        <v>1</v>
      </c>
      <c r="AC42" s="1307">
        <f t="shared" si="5"/>
        <v>1</v>
      </c>
    </row>
    <row r="43" spans="1:29" ht="27">
      <c r="A43" s="542"/>
      <c r="B43" s="476" t="s">
        <v>682</v>
      </c>
      <c r="C43" s="547" t="s">
        <v>3685</v>
      </c>
      <c r="D43" s="489">
        <v>100</v>
      </c>
      <c r="E43" s="547" t="s">
        <v>3685</v>
      </c>
      <c r="F43" s="524">
        <f>SUMIF(124:124,E43,125:125)-SUMIF(124:124,C43,125:125)+100</f>
        <v>100</v>
      </c>
      <c r="G43" s="547" t="s">
        <v>3685</v>
      </c>
      <c r="H43" s="489">
        <f>SUMIF(124:124,G43,125:125)-SUMIF(124:124,C43,125:125)+100</f>
        <v>100</v>
      </c>
      <c r="I43" s="547" t="s">
        <v>3685</v>
      </c>
      <c r="J43" s="489">
        <f>SUMIF(124:124,I43,125:125)-SUMIF(124:124,C43,125:125)+100</f>
        <v>100</v>
      </c>
      <c r="K43" s="793">
        <v>2</v>
      </c>
      <c r="L43" s="1747"/>
      <c r="M43" s="3517" t="s">
        <v>3731</v>
      </c>
      <c r="N43" s="1740"/>
      <c r="O43" s="1746"/>
      <c r="P43" s="3733"/>
      <c r="Q43" s="1304" t="str">
        <f t="shared" si="8"/>
        <v>内部装修维护情况</v>
      </c>
      <c r="R43" s="1305" t="s">
        <v>8</v>
      </c>
      <c r="S43" s="1306">
        <f t="shared" si="9"/>
        <v>100</v>
      </c>
      <c r="T43" s="1305" t="s">
        <v>8</v>
      </c>
      <c r="U43" s="1306">
        <f t="shared" si="10"/>
        <v>100</v>
      </c>
      <c r="V43" s="1305" t="s">
        <v>8</v>
      </c>
      <c r="W43" s="1306">
        <f t="shared" si="11"/>
        <v>100</v>
      </c>
      <c r="X43" s="1300"/>
      <c r="Y43" s="3733"/>
      <c r="Z43" s="1307" t="str">
        <f t="shared" si="12"/>
        <v>内部装修维护情况</v>
      </c>
      <c r="AA43" s="1307">
        <f t="shared" si="3"/>
        <v>1</v>
      </c>
      <c r="AB43" s="1307">
        <f t="shared" si="4"/>
        <v>1</v>
      </c>
      <c r="AC43" s="1307">
        <f t="shared" si="5"/>
        <v>1</v>
      </c>
    </row>
    <row r="44" spans="1:29" s="1057" customFormat="1" ht="15">
      <c r="A44" s="548"/>
      <c r="B44" s="3514"/>
      <c r="C44" s="3515"/>
      <c r="D44" s="234">
        <v>100</v>
      </c>
      <c r="E44" s="3515"/>
      <c r="F44" s="476">
        <f>SUMIF(126:126,E44,127:127)-SUMIF(126:126,C44,127:127)+100</f>
        <v>100</v>
      </c>
      <c r="G44" s="3515"/>
      <c r="H44" s="234">
        <f>SUMIF(126:126,G44,127:127)-SUMIF(126:126,C44,127:127)+100</f>
        <v>100</v>
      </c>
      <c r="I44" s="3515"/>
      <c r="J44" s="234">
        <f>SUMIF(126:126,I44,127:127)-SUMIF(126:126,C44,127:127)+100</f>
        <v>100</v>
      </c>
      <c r="K44" s="794"/>
      <c r="L44" s="1741"/>
      <c r="M44" s="1638"/>
      <c r="N44" s="1638"/>
      <c r="O44" s="1742"/>
      <c r="P44" s="3733"/>
      <c r="Q44" s="815">
        <f t="shared" si="8"/>
        <v>0</v>
      </c>
      <c r="R44" s="1301" t="s">
        <v>8</v>
      </c>
      <c r="S44" s="1302">
        <f t="shared" si="9"/>
        <v>100</v>
      </c>
      <c r="T44" s="1301" t="s">
        <v>8</v>
      </c>
      <c r="U44" s="1302">
        <f t="shared" si="10"/>
        <v>100</v>
      </c>
      <c r="V44" s="1301" t="s">
        <v>8</v>
      </c>
      <c r="W44" s="1302">
        <f t="shared" si="11"/>
        <v>100</v>
      </c>
      <c r="X44" s="1303"/>
      <c r="Y44" s="3733"/>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33"/>
      <c r="Q45" s="1304">
        <f t="shared" si="8"/>
        <v>0</v>
      </c>
      <c r="R45" s="1305" t="s">
        <v>8</v>
      </c>
      <c r="S45" s="1306">
        <f t="shared" si="9"/>
        <v>100</v>
      </c>
      <c r="T45" s="1305" t="s">
        <v>8</v>
      </c>
      <c r="U45" s="1306">
        <f t="shared" si="10"/>
        <v>100</v>
      </c>
      <c r="V45" s="1305" t="s">
        <v>8</v>
      </c>
      <c r="W45" s="1306">
        <f t="shared" si="11"/>
        <v>100</v>
      </c>
      <c r="X45" s="1300"/>
      <c r="Y45" s="3733"/>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18"/>
      <c r="Q46" s="1304">
        <f t="shared" si="8"/>
        <v>0</v>
      </c>
      <c r="R46" s="1305" t="s">
        <v>7</v>
      </c>
      <c r="S46" s="1306">
        <f t="shared" si="9"/>
        <v>100</v>
      </c>
      <c r="T46" s="1305" t="s">
        <v>7</v>
      </c>
      <c r="U46" s="1306">
        <f t="shared" si="10"/>
        <v>100</v>
      </c>
      <c r="V46" s="1305" t="s">
        <v>7</v>
      </c>
      <c r="W46" s="1306">
        <f t="shared" si="11"/>
        <v>100</v>
      </c>
      <c r="X46" s="1300"/>
      <c r="Y46" s="3818"/>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78799</v>
      </c>
      <c r="J47" s="562"/>
      <c r="K47" s="1329"/>
      <c r="L47" s="1749"/>
      <c r="M47" s="1740"/>
      <c r="N47" s="1740"/>
      <c r="O47" s="1740"/>
      <c r="P47" s="3728" t="str">
        <f>A47</f>
        <v>成交单价（元/平方米）</v>
      </c>
      <c r="Q47" s="3728"/>
      <c r="R47" s="3744">
        <f>E47</f>
        <v>81245</v>
      </c>
      <c r="S47" s="3744"/>
      <c r="T47" s="3744">
        <f>G47</f>
        <v>83476</v>
      </c>
      <c r="U47" s="3744"/>
      <c r="V47" s="3744">
        <f>I47</f>
        <v>78799</v>
      </c>
      <c r="W47" s="3744"/>
      <c r="X47" s="798"/>
      <c r="Y47" s="1312"/>
      <c r="Z47" s="798"/>
      <c r="AA47" s="798"/>
      <c r="AB47" s="798"/>
      <c r="AC47" s="798"/>
    </row>
    <row r="48" spans="1:29" ht="15.75" thickBot="1">
      <c r="A48" s="563" t="s">
        <v>2042</v>
      </c>
      <c r="B48" s="810"/>
      <c r="C48" s="2080">
        <f>R49</f>
        <v>84180</v>
      </c>
      <c r="D48" s="2548" t="s">
        <v>3769</v>
      </c>
      <c r="E48" s="2081">
        <f>R48</f>
        <v>83758</v>
      </c>
      <c r="F48" s="2549">
        <v>0.4</v>
      </c>
      <c r="G48" s="2080">
        <f>T48</f>
        <v>86058</v>
      </c>
      <c r="H48" s="2549">
        <v>0.4</v>
      </c>
      <c r="I48" s="2081">
        <f>V48</f>
        <v>81269</v>
      </c>
      <c r="J48" s="2549">
        <v>0.2</v>
      </c>
      <c r="K48" s="2556">
        <f>F48+H48+J48</f>
        <v>1</v>
      </c>
      <c r="L48" s="1749"/>
      <c r="M48" s="1740"/>
      <c r="N48" s="1740"/>
      <c r="O48" s="1740"/>
      <c r="P48" s="3728" t="str">
        <f>A48</f>
        <v>比较价格（元/平方米）</v>
      </c>
      <c r="Q48" s="3728"/>
      <c r="R48" s="3744">
        <f>IF(F1="售价",ROUND(PRODUCT(R47,AA7:AA46),0),ROUND(PRODUCT(R47,AA7:AA46),1))</f>
        <v>83758</v>
      </c>
      <c r="S48" s="3744"/>
      <c r="T48" s="3744">
        <f>IF(F1="售价",ROUND(PRODUCT(T47,AB7:AB46),0),ROUND(PRODUCT(T47,AB7:AB46),1))</f>
        <v>86058</v>
      </c>
      <c r="U48" s="3744"/>
      <c r="V48" s="3744">
        <f>IF(F1="售价",ROUND(PRODUCT(V47,AC7:AC46),0),ROUND(PRODUCT(V47,AC7:AC46),1))</f>
        <v>81269</v>
      </c>
      <c r="W48" s="3744"/>
      <c r="X48" s="798"/>
      <c r="Y48" s="798"/>
      <c r="Z48" s="798"/>
      <c r="AA48" s="798"/>
      <c r="AB48" s="798"/>
      <c r="AC48" s="798"/>
    </row>
    <row r="49" spans="1:29" ht="15.75" thickBot="1">
      <c r="A49" s="567" t="s">
        <v>2189</v>
      </c>
      <c r="B49" s="568"/>
      <c r="C49" s="468">
        <f>R49</f>
        <v>84180</v>
      </c>
      <c r="D49" s="468"/>
      <c r="E49" s="468"/>
      <c r="F49" s="468"/>
      <c r="G49" s="468"/>
      <c r="H49" s="468"/>
      <c r="I49" s="468"/>
      <c r="J49" s="468"/>
      <c r="K49" s="1330"/>
      <c r="L49" s="1749"/>
      <c r="M49" s="1740"/>
      <c r="N49" s="1740"/>
      <c r="O49" s="1740"/>
      <c r="P49" s="3734" t="str">
        <f>A49</f>
        <v>估价对象XX用房的比较价格（楼面单价，元/平方米）</v>
      </c>
      <c r="Q49" s="3735"/>
      <c r="R49" s="3817">
        <f>IF(F1="售价",ROUND(IF(D48="简单平均",AVERAGE(R48:V48),R48*F48+T48*H48+V48*J48),0),ROUND(IF(D48="简单平均",AVERAGE(R48:V48),R48*F48+T48*H48+V48*J48),1))</f>
        <v>84180</v>
      </c>
      <c r="S49" s="3817"/>
      <c r="T49" s="3817"/>
      <c r="U49" s="3817"/>
      <c r="V49" s="3817"/>
      <c r="W49" s="3817"/>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3.1345575451465102E-2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5.8927758431874366E-2</v>
      </c>
      <c r="H53" s="573" t="str">
        <f>IF(OR(G53&gt;=0.2,G53&lt;=-0.2),"超过20%","")</f>
        <v/>
      </c>
      <c r="I53" s="572">
        <f>IF(I48&lt;E48,E48/I48-1,I48/E48-1)</f>
        <v>3.0626684221535916E-2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5.935354509574986E-2</v>
      </c>
      <c r="H54" s="573" t="str">
        <f>IF(OR(G54&gt;=0.3,G54&lt;=-0.3),"超过30%","")</f>
        <v/>
      </c>
      <c r="I54" s="572">
        <f>IF(I47&lt;E47,E47/I47-1,I47/E47-1)</f>
        <v>3.1041003058414507E-2</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98</v>
      </c>
      <c r="E77" s="620">
        <f>D77-$K15</f>
        <v>96</v>
      </c>
      <c r="F77" s="620">
        <f>E77-$K15</f>
        <v>94</v>
      </c>
      <c r="G77" s="620">
        <f>F77-$K15</f>
        <v>92</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6" t="s">
        <v>3723</v>
      </c>
      <c r="D100" s="3506" t="s">
        <v>3716</v>
      </c>
      <c r="E100" s="3506" t="s">
        <v>3721</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C104+2</f>
        <v>102</v>
      </c>
      <c r="E104" s="612">
        <f t="shared" ref="E104:F104" si="20">D104+1</f>
        <v>103</v>
      </c>
      <c r="F104" s="612">
        <f t="shared" si="20"/>
        <v>104</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3" t="s">
        <v>3717</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1" t="s">
        <v>3718</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3" t="s">
        <v>3719</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3" t="s">
        <v>3720</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3" t="s">
        <v>3679</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3" t="s">
        <v>3719</v>
      </c>
      <c r="D122" s="3513" t="s">
        <v>3726</v>
      </c>
      <c r="E122" s="3513" t="s">
        <v>3727</v>
      </c>
      <c r="F122" s="3501" t="s">
        <v>3728</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3" t="s">
        <v>3725</v>
      </c>
      <c r="D126" s="3513" t="s">
        <v>3724</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100" priority="15" stopIfTrue="1">
      <formula>$F$52="超过30%"</formula>
    </cfRule>
  </conditionalFormatting>
  <conditionalFormatting sqref="E53">
    <cfRule type="expression" dxfId="99" priority="12" stopIfTrue="1">
      <formula>$F$53="超过20%"</formula>
    </cfRule>
  </conditionalFormatting>
  <conditionalFormatting sqref="E54">
    <cfRule type="expression" dxfId="98" priority="11" stopIfTrue="1">
      <formula>$F$54="超过30%"</formula>
    </cfRule>
  </conditionalFormatting>
  <conditionalFormatting sqref="F7:F46 H7:H46 J7:J46">
    <cfRule type="cellIs" dxfId="97" priority="2" operator="notEqual">
      <formula>100</formula>
    </cfRule>
  </conditionalFormatting>
  <conditionalFormatting sqref="F48">
    <cfRule type="expression" dxfId="96" priority="5">
      <formula>$D$48="简单平均"</formula>
    </cfRule>
  </conditionalFormatting>
  <conditionalFormatting sqref="F52:F54 H52:H54 J52:J54">
    <cfRule type="containsText" dxfId="95" priority="16" stopIfTrue="1" operator="containsText" text="超过">
      <formula>NOT(ISERROR(SEARCH("超过",F52)))</formula>
    </cfRule>
  </conditionalFormatting>
  <conditionalFormatting sqref="G52">
    <cfRule type="expression" dxfId="94" priority="10" stopIfTrue="1">
      <formula>$H$52="超过30%"</formula>
    </cfRule>
  </conditionalFormatting>
  <conditionalFormatting sqref="G53">
    <cfRule type="expression" dxfId="93" priority="9" stopIfTrue="1">
      <formula>$H$53="超过20%"</formula>
    </cfRule>
  </conditionalFormatting>
  <conditionalFormatting sqref="G54">
    <cfRule type="expression" dxfId="92" priority="13" stopIfTrue="1">
      <formula>$H$54="超过30%"</formula>
    </cfRule>
  </conditionalFormatting>
  <conditionalFormatting sqref="H48">
    <cfRule type="expression" dxfId="91" priority="1">
      <formula>$D$48="简单平均"</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48">
    <cfRule type="expression" dxfId="87" priority="3">
      <formula>$D$48="简单平均"</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D48" xr:uid="{00000000-0002-0000-20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-2.5</v>
      </c>
      <c r="G1" s="708">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20" t="s">
        <v>1807</v>
      </c>
      <c r="C8" s="1514">
        <f ca="1">ROUND(F8*F10*F9*(1-F11)/10000,0)</f>
        <v>0</v>
      </c>
      <c r="D8" s="316" t="s">
        <v>1817</v>
      </c>
      <c r="E8" s="56" t="s">
        <v>585</v>
      </c>
      <c r="F8" s="719">
        <f ca="1">INDIRECT("'数据-取费表'!u"&amp;$G$1)</f>
        <v>0</v>
      </c>
      <c r="G8" s="1142"/>
      <c r="H8" s="2007" t="s">
        <v>1353</v>
      </c>
      <c r="I8" s="3820" t="s">
        <v>1807</v>
      </c>
      <c r="J8" s="717">
        <f ca="1">ROUND(M8*M10*M9*(1-M11)/10000,0)</f>
        <v>0</v>
      </c>
      <c r="K8" s="314" t="s">
        <v>1817</v>
      </c>
      <c r="L8" s="718" t="s">
        <v>1267</v>
      </c>
      <c r="M8" s="719">
        <f ca="1">INDIRECT("'数据-取费表'!z"&amp;$G$1)</f>
        <v>0</v>
      </c>
    </row>
    <row r="9" spans="1:25" ht="18" customHeight="1">
      <c r="A9" s="2003"/>
      <c r="B9" s="3821"/>
      <c r="C9" s="1515"/>
      <c r="D9" s="329"/>
      <c r="E9" s="56" t="s">
        <v>586</v>
      </c>
      <c r="F9" s="719">
        <f ca="1">IF(INDIRECT("'数据-取费表'!ah"&amp;$G$1)="",INDIRECT("'数据-取费表'!k"&amp;$G$1),INDIRECT("'数据-取费表'!ah"&amp;$G$1))</f>
        <v>0</v>
      </c>
      <c r="G9" s="1142"/>
      <c r="H9" s="1992"/>
      <c r="I9" s="3821"/>
      <c r="J9" s="722"/>
      <c r="K9" s="723"/>
      <c r="L9" s="718" t="s">
        <v>1268</v>
      </c>
      <c r="M9" s="719">
        <f ca="1">F9</f>
        <v>0</v>
      </c>
    </row>
    <row r="10" spans="1:25" ht="18" customHeight="1">
      <c r="A10" s="1996"/>
      <c r="B10" s="3822"/>
      <c r="C10" s="1515"/>
      <c r="D10" s="329"/>
      <c r="E10" s="56" t="s">
        <v>587</v>
      </c>
      <c r="F10" s="719">
        <f ca="1">INDIRECT("'数据-取费表'!ai"&amp;$G$1)</f>
        <v>0</v>
      </c>
      <c r="G10" s="1142"/>
      <c r="H10" s="1992"/>
      <c r="I10" s="3822"/>
      <c r="J10" s="722"/>
      <c r="K10" s="723"/>
      <c r="L10" s="718" t="s">
        <v>1269</v>
      </c>
      <c r="M10" s="719">
        <f ca="1">INDIRECT("'数据-取费表'!ai"&amp;$G$1)</f>
        <v>0</v>
      </c>
    </row>
    <row r="11" spans="1:25" ht="18" customHeight="1">
      <c r="A11" s="720"/>
      <c r="B11" s="3823"/>
      <c r="C11" s="1515"/>
      <c r="D11" s="329"/>
      <c r="E11" s="56" t="s">
        <v>588</v>
      </c>
      <c r="F11" s="728">
        <f ca="1">INDIRECT("'数据-取费表'!w"&amp;$G$1)</f>
        <v>0</v>
      </c>
      <c r="G11" s="1142"/>
      <c r="H11" s="2008"/>
      <c r="I11" s="3822"/>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2223</v>
      </c>
      <c r="E12" s="2001" t="s">
        <v>1808</v>
      </c>
      <c r="F12" s="2074"/>
      <c r="G12" s="1142"/>
      <c r="H12" s="2035" t="s">
        <v>1354</v>
      </c>
      <c r="I12" s="2039" t="s">
        <v>1803</v>
      </c>
      <c r="J12" s="717">
        <f ca="1">ROUND(IF(M12="押一",J8/12*M13,IF(M12="押二",J8/12*2*M13,IF(M12="押三",J8/12*3*M13,J13*M13))),0)</f>
        <v>0</v>
      </c>
      <c r="K12" s="2004" t="s">
        <v>2223</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3235</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1.4999999999999999E-2</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2.5</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5.9999999999999995E-4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6"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4" t="s">
        <v>2271</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19"/>
      <c r="J36" s="1688"/>
      <c r="K36" s="1689"/>
      <c r="L36" s="1688"/>
      <c r="M36" s="1688"/>
    </row>
    <row r="37" spans="1:18" ht="18" customHeight="1">
      <c r="A37" s="748"/>
      <c r="B37" s="727"/>
      <c r="C37" s="64"/>
      <c r="D37" s="749"/>
      <c r="E37" s="718" t="s">
        <v>621</v>
      </c>
      <c r="F37" s="719">
        <f ca="1">INDIRECT("'数据-取费表'!r"&amp;$G$1)</f>
        <v>0</v>
      </c>
      <c r="G37" s="1666"/>
      <c r="H37" s="1675"/>
      <c r="I37" s="3819"/>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5"/>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8" t="s">
        <v>2213</v>
      </c>
      <c r="F43" s="2359">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60" t="s">
        <v>2216</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-2.5</v>
      </c>
      <c r="K54" s="3824"/>
      <c r="L54" s="3825"/>
      <c r="O54" s="1958" t="s">
        <v>1742</v>
      </c>
      <c r="P54" s="1956" t="s">
        <v>1743</v>
      </c>
      <c r="Q54" s="1957">
        <f ca="1">J54</f>
        <v>-2.5</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9">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851</v>
      </c>
      <c r="D1" s="2361" t="s">
        <v>877</v>
      </c>
      <c r="E1" s="1945" t="s">
        <v>1728</v>
      </c>
      <c r="F1" s="1946">
        <f ca="1">J53</f>
        <v>69.58</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0</v>
      </c>
      <c r="C2" s="2760"/>
      <c r="D2" s="2759"/>
      <c r="E2" s="2761"/>
      <c r="F2" s="2761"/>
      <c r="G2" s="2756"/>
      <c r="H2" s="1668"/>
      <c r="I2" s="1668"/>
      <c r="J2" s="1668"/>
      <c r="K2" s="1669"/>
      <c r="L2" s="1668"/>
      <c r="M2" s="1668"/>
    </row>
    <row r="3" spans="1:33" ht="18" customHeight="1" thickBot="1">
      <c r="A3" s="766" t="s">
        <v>1256</v>
      </c>
      <c r="B3" s="767">
        <f ca="1">IF(ISERROR(B2*10000/F43),0,ROUND(B2*10000/F43,0))</f>
        <v>0</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0</v>
      </c>
      <c r="D5" s="1999" t="s">
        <v>1805</v>
      </c>
      <c r="E5" s="1993"/>
      <c r="F5" s="1994"/>
      <c r="G5" s="1666"/>
      <c r="H5" s="715">
        <v>1</v>
      </c>
      <c r="I5" s="716" t="s">
        <v>1802</v>
      </c>
      <c r="J5" s="50">
        <f ca="1">J6+J10+J12</f>
        <v>0</v>
      </c>
      <c r="K5" s="1999" t="s">
        <v>1805</v>
      </c>
      <c r="L5" s="1993"/>
      <c r="M5" s="1994"/>
    </row>
    <row r="6" spans="1:33" ht="18" customHeight="1">
      <c r="A6" s="1519" t="s">
        <v>1353</v>
      </c>
      <c r="B6" s="3820" t="s">
        <v>1807</v>
      </c>
      <c r="C6" s="717">
        <f ca="1">ROUND(F6*F8*F7*(1-F9)/10000,0)</f>
        <v>0</v>
      </c>
      <c r="D6" s="2000" t="s">
        <v>1806</v>
      </c>
      <c r="E6" s="718" t="s">
        <v>1267</v>
      </c>
      <c r="F6" s="719">
        <f ca="1">INDIRECT("'数据-取费表'!u"&amp;$G$1)</f>
        <v>0</v>
      </c>
      <c r="G6" s="1666"/>
      <c r="H6" s="2007" t="s">
        <v>1812</v>
      </c>
      <c r="I6" s="3820" t="s">
        <v>1807</v>
      </c>
      <c r="J6" s="717">
        <f ca="1">ROUND(M6*M8*M7*(1-M9)/10000,0)</f>
        <v>0</v>
      </c>
      <c r="K6" s="314" t="s">
        <v>1266</v>
      </c>
      <c r="L6" s="718" t="s">
        <v>1267</v>
      </c>
      <c r="M6" s="719">
        <f ca="1">INDIRECT("'数据-取费表'!z"&amp;$G$1)</f>
        <v>0</v>
      </c>
    </row>
    <row r="7" spans="1:33" ht="18" customHeight="1">
      <c r="A7" s="2003"/>
      <c r="B7" s="3821"/>
      <c r="C7" s="722"/>
      <c r="D7" s="723"/>
      <c r="E7" s="718" t="s">
        <v>1268</v>
      </c>
      <c r="F7" s="719">
        <f ca="1">IF(INDIRECT("'数据-取费表'!ah"&amp;$G$1)="",INDIRECT("'数据-取费表'!k"&amp;$G$1),INDIRECT("'数据-取费表'!ah"&amp;$G$1))</f>
        <v>47623.45</v>
      </c>
      <c r="G7" s="1666"/>
      <c r="H7" s="1992"/>
      <c r="I7" s="3821"/>
      <c r="J7" s="722"/>
      <c r="K7" s="723"/>
      <c r="L7" s="718" t="s">
        <v>1268</v>
      </c>
      <c r="M7" s="719">
        <f ca="1">F7</f>
        <v>47623.45</v>
      </c>
    </row>
    <row r="8" spans="1:33" ht="18" customHeight="1">
      <c r="A8" s="1996"/>
      <c r="B8" s="3822"/>
      <c r="C8" s="722"/>
      <c r="D8" s="723"/>
      <c r="E8" s="718" t="s">
        <v>1269</v>
      </c>
      <c r="F8" s="719">
        <f ca="1">INDIRECT("'数据-取费表'!ai"&amp;$G$1)</f>
        <v>0</v>
      </c>
      <c r="G8" s="1666"/>
      <c r="H8" s="1992"/>
      <c r="I8" s="3822"/>
      <c r="J8" s="722"/>
      <c r="K8" s="723"/>
      <c r="L8" s="718" t="s">
        <v>1269</v>
      </c>
      <c r="M8" s="719">
        <f ca="1">INDIRECT("'数据-取费表'!ai"&amp;$G$1)</f>
        <v>0</v>
      </c>
    </row>
    <row r="9" spans="1:33" ht="18" customHeight="1">
      <c r="A9" s="720"/>
      <c r="B9" s="3823"/>
      <c r="C9" s="722"/>
      <c r="D9" s="723"/>
      <c r="E9" s="718" t="s">
        <v>1270</v>
      </c>
      <c r="F9" s="728">
        <f ca="1">INDIRECT("'数据-取费表'!w"&amp;$G$1)</f>
        <v>0</v>
      </c>
      <c r="G9" s="1666"/>
      <c r="H9" s="2008"/>
      <c r="I9" s="3822"/>
      <c r="J9" s="722"/>
      <c r="K9" s="723"/>
      <c r="L9" s="729" t="s">
        <v>1270</v>
      </c>
      <c r="M9" s="730">
        <f ca="1">INDIRECT("'数据-取费表'!ab"&amp;$G$1)</f>
        <v>0</v>
      </c>
    </row>
    <row r="10" spans="1:33" ht="18" customHeight="1">
      <c r="A10" s="1519" t="s">
        <v>1810</v>
      </c>
      <c r="B10" s="1997" t="s">
        <v>1803</v>
      </c>
      <c r="C10" s="733">
        <f ca="1">ROUND(IF(F10="押一",C6/12*F11,IF(F10="押二",C6/12*2*F11,IF(F10="押三",C6/12*3*F11,C11*F11))),0)</f>
        <v>0</v>
      </c>
      <c r="D10" s="2004" t="s">
        <v>2223</v>
      </c>
      <c r="E10" s="2001" t="s">
        <v>1808</v>
      </c>
      <c r="F10" s="2074"/>
      <c r="G10" s="1666"/>
      <c r="H10" s="2035" t="s">
        <v>1813</v>
      </c>
      <c r="I10" s="2039" t="s">
        <v>1803</v>
      </c>
      <c r="J10" s="717">
        <f ca="1">ROUND(IF(M10="押一",J6/12*M11,IF(M10="押二",J6/12*2*M11,IF(M10="押三",J6/12*3*M11,J11*M11))),0)</f>
        <v>0</v>
      </c>
      <c r="K10" s="2004" t="s">
        <v>2223</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35489</v>
      </c>
      <c r="D14" s="903" t="s">
        <v>1274</v>
      </c>
      <c r="E14" s="902"/>
      <c r="F14" s="739"/>
      <c r="G14" s="1666"/>
      <c r="H14" s="1367" t="s">
        <v>1359</v>
      </c>
      <c r="I14" s="1823" t="s">
        <v>2103</v>
      </c>
      <c r="J14" s="48">
        <f ca="1">C29</f>
        <v>53179</v>
      </c>
      <c r="K14" s="21"/>
      <c r="L14" s="735"/>
      <c r="M14" s="736"/>
    </row>
    <row r="15" spans="1:33" s="1674" customFormat="1" ht="18" customHeight="1" thickBot="1">
      <c r="A15" s="1366" t="s">
        <v>1410</v>
      </c>
      <c r="B15" s="718" t="s">
        <v>595</v>
      </c>
      <c r="C15" s="48">
        <f ca="1">ROUND(C14*F15,0)</f>
        <v>1065</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1000</v>
      </c>
      <c r="D16" s="718" t="s">
        <v>1275</v>
      </c>
      <c r="E16" s="718" t="s">
        <v>1276</v>
      </c>
      <c r="F16" s="743">
        <f ca="1">IF(INDIRECT("'数据-取费表'!c"&amp;$G$1)="住宅",'数据-取费表'!B34,0)</f>
        <v>0.03</v>
      </c>
      <c r="G16" s="1666"/>
      <c r="H16" s="1518" t="s">
        <v>1277</v>
      </c>
      <c r="I16" s="1516" t="s">
        <v>1278</v>
      </c>
      <c r="J16" s="726">
        <f ca="1">ROUND(J17+J22+J23+J24,0)</f>
        <v>5</v>
      </c>
      <c r="K16" s="1512" t="s">
        <v>1279</v>
      </c>
      <c r="L16" s="906"/>
      <c r="M16" s="1994"/>
    </row>
    <row r="17" spans="1:33" s="1674" customFormat="1" ht="18" customHeight="1">
      <c r="A17" s="1366" t="s">
        <v>1412</v>
      </c>
      <c r="B17" s="718" t="s">
        <v>601</v>
      </c>
      <c r="C17" s="48">
        <f ca="1">ROUND(F17*(F43+INDIRECT("'数据-取费表'!S"&amp;$G$1))/10000,0)</f>
        <v>1024</v>
      </c>
      <c r="D17" s="718" t="s">
        <v>1280</v>
      </c>
      <c r="E17" s="718" t="s">
        <v>1281</v>
      </c>
      <c r="F17" s="51">
        <f>'数据-取费表'!B35</f>
        <v>200</v>
      </c>
      <c r="G17" s="2757"/>
      <c r="H17" s="1367" t="s">
        <v>1359</v>
      </c>
      <c r="I17" s="718" t="s">
        <v>604</v>
      </c>
      <c r="J17" s="2553">
        <f ca="1">ROUND(IF(AND(项目基本情况!B11="自然人",项目基本情况!B10="北京市"),J6*M17/(1+'数据-取费表'!C42),J18+J19+J20),2)</f>
        <v>4.7</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710</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39288</v>
      </c>
      <c r="D19" s="240" t="s">
        <v>1286</v>
      </c>
      <c r="E19" s="912"/>
      <c r="F19" s="51"/>
      <c r="G19" s="1666"/>
      <c r="H19" s="1366" t="s">
        <v>1410</v>
      </c>
      <c r="I19" s="718" t="s">
        <v>1287</v>
      </c>
      <c r="J19" s="48">
        <f ca="1">IF(K19="按租金收入计税",ROUND(J6*M19/(1+'数据-取费表'!C42),1),ROUND(C29*F33*0.7,2))</f>
        <v>0</v>
      </c>
      <c r="K19" s="744" t="s">
        <v>3235</v>
      </c>
      <c r="L19" s="718" t="s">
        <v>1276</v>
      </c>
      <c r="M19" s="743">
        <f>IF(K19="按租金收入计税",'数据-取费表'!B51,'数据-取费表'!B50)</f>
        <v>0.12</v>
      </c>
    </row>
    <row r="20" spans="1:33" s="1674" customFormat="1" ht="18" customHeight="1">
      <c r="A20" s="1367" t="s">
        <v>1414</v>
      </c>
      <c r="B20" s="718" t="s">
        <v>613</v>
      </c>
      <c r="C20" s="48">
        <f ca="1">ROUND(C19*F20,0)</f>
        <v>589</v>
      </c>
      <c r="D20" s="745" t="s">
        <v>1288</v>
      </c>
      <c r="E20" s="718" t="s">
        <v>1276</v>
      </c>
      <c r="F20" s="743">
        <f>'数据-取费表'!B37</f>
        <v>1.4999999999999999E-2</v>
      </c>
      <c r="G20" s="2757"/>
      <c r="H20" s="1369" t="s">
        <v>1405</v>
      </c>
      <c r="I20" s="314" t="s">
        <v>1289</v>
      </c>
      <c r="J20" s="49">
        <f ca="1">ROUND(M20*M21/10000,2)</f>
        <v>4.7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1.4999999999999999E-2</v>
      </c>
      <c r="G21" s="2757"/>
      <c r="H21" s="2009"/>
      <c r="I21" s="727"/>
      <c r="J21" s="64"/>
      <c r="K21" s="749"/>
      <c r="L21" s="718" t="s">
        <v>1295</v>
      </c>
      <c r="M21" s="719">
        <f ca="1">INDIRECT("'数据-取费表'!r"&amp;$G$1)</f>
        <v>15678.57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0</v>
      </c>
      <c r="K22" s="904" t="s">
        <v>1298</v>
      </c>
      <c r="L22" s="718" t="s">
        <v>1276</v>
      </c>
      <c r="M22" s="750">
        <f ca="1">INDIRECT("'数据-取费表'!Ak"&amp;$G$1)</f>
        <v>0</v>
      </c>
    </row>
    <row r="23" spans="1:33" s="1674" customFormat="1" ht="18" customHeight="1">
      <c r="A23" s="1366" t="s">
        <v>1360</v>
      </c>
      <c r="B23" s="718" t="s">
        <v>1818</v>
      </c>
      <c r="C23" s="48">
        <f ca="1">ROUND(IF('数据-取费表'!B22&lt;=1,(C19+C20)*F24*F23/2,(C19+C20)*(POWER((1+F24),F23/2)-1)),0)</f>
        <v>1551</v>
      </c>
      <c r="D23" s="2042" t="str">
        <f>IF(F23&lt;=1,"(建造成本+管理费用)×利率×(建设周期÷2)","(建造成本+管理费用)×((1+利率)^(建设周期÷2)-1)")</f>
        <v>(建造成本+管理费用)×((1+利率)^(建设周期÷2)-1)</v>
      </c>
      <c r="E23" s="718" t="s">
        <v>1299</v>
      </c>
      <c r="F23" s="586">
        <f>'数据-取费表'!B20</f>
        <v>2.5</v>
      </c>
      <c r="G23" s="2757"/>
      <c r="H23" s="1367" t="s">
        <v>1415</v>
      </c>
      <c r="I23" s="718" t="s">
        <v>626</v>
      </c>
      <c r="J23" s="48">
        <f ca="1">ROUND(J13*M23,2)</f>
        <v>0</v>
      </c>
      <c r="K23" s="904" t="s">
        <v>1300</v>
      </c>
      <c r="L23" s="718" t="s">
        <v>1276</v>
      </c>
      <c r="M23" s="751">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5.9999999999999995E-4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5" t="s">
        <v>2099</v>
      </c>
      <c r="J25" s="726">
        <f ca="1">J5-J16</f>
        <v>-5</v>
      </c>
      <c r="K25" s="2022" t="s">
        <v>1306</v>
      </c>
      <c r="L25" s="2023"/>
      <c r="M25" s="2024"/>
    </row>
    <row r="26" spans="1:33" ht="18" customHeight="1">
      <c r="A26" s="1366" t="s">
        <v>1360</v>
      </c>
      <c r="B26" s="718" t="s">
        <v>1785</v>
      </c>
      <c r="C26" s="48">
        <f ca="1">ROUND((C19+C20)*F26,0)</f>
        <v>7975</v>
      </c>
      <c r="D26" s="745" t="s">
        <v>1307</v>
      </c>
      <c r="E26" s="729" t="s">
        <v>1308</v>
      </c>
      <c r="F26" s="728">
        <f ca="1">INDIRECT("'数据-取费表'!q"&amp;$G$1)</f>
        <v>0.2</v>
      </c>
      <c r="G26" s="1666"/>
      <c r="H26" s="2005" t="s">
        <v>1309</v>
      </c>
      <c r="I26" s="1824" t="s">
        <v>2104</v>
      </c>
      <c r="J26" s="717">
        <f ca="1">IF(J5&lt;&gt;0,ROUND(J25*(1-((1+M28)/(1+M26))^M27)/(M26-M28),0),0)</f>
        <v>0</v>
      </c>
      <c r="K26" s="747" t="s">
        <v>1310</v>
      </c>
      <c r="L26" s="718" t="s">
        <v>1773</v>
      </c>
      <c r="M26" s="728">
        <f ca="1">INDIRECT("'数据-取费表'!I"&amp;$G$1)</f>
        <v>4.4999999999999998E-2</v>
      </c>
    </row>
    <row r="27" spans="1:33" ht="18" customHeight="1">
      <c r="A27" s="1366" t="s">
        <v>1361</v>
      </c>
      <c r="B27" s="718" t="s">
        <v>633</v>
      </c>
      <c r="C27" s="48">
        <f ca="1">ROUND(F21*F26,4)</f>
        <v>3.0000000000000001E-3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53179</v>
      </c>
      <c r="D29" s="2019"/>
      <c r="E29" s="2020"/>
      <c r="F29" s="2021"/>
      <c r="G29" s="2757"/>
      <c r="H29" s="756" t="s">
        <v>1316</v>
      </c>
      <c r="I29" s="757" t="s">
        <v>1317</v>
      </c>
      <c r="J29" s="758">
        <f ca="1">ROUND(J26/(1+F40)^F41,0)</f>
        <v>0</v>
      </c>
      <c r="K29" s="759" t="s">
        <v>1318</v>
      </c>
      <c r="L29" s="760"/>
      <c r="M29" s="761">
        <f ca="1">INDIRECT("'数据-取费表'!k"&amp;$G$1)</f>
        <v>47623.45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5</v>
      </c>
      <c r="D30" s="1512" t="s">
        <v>1320</v>
      </c>
      <c r="E30" s="906"/>
      <c r="F30" s="1994"/>
      <c r="G30" s="1666"/>
      <c r="H30" s="1675"/>
      <c r="I30" s="1676"/>
      <c r="J30" s="1677"/>
      <c r="K30" s="1634"/>
      <c r="L30" s="1678"/>
      <c r="M30" s="1679"/>
    </row>
    <row r="31" spans="1:33" ht="18" customHeight="1">
      <c r="A31" s="1367" t="s">
        <v>1359</v>
      </c>
      <c r="B31" s="718" t="s">
        <v>604</v>
      </c>
      <c r="C31" s="2553">
        <f ca="1">ROUND(IF(AND(项目基本情况!B11="自然人",项目基本情况!B10="北京市"),C6*F31/(1+'数据-取费表'!C42),C32+C33+C34),2)</f>
        <v>4.7</v>
      </c>
      <c r="D31" s="903" t="s">
        <v>1321</v>
      </c>
      <c r="E31" s="904" t="s">
        <v>1322</v>
      </c>
      <c r="F31" s="2552" t="str">
        <f>IF(项目基本情况!B11="企业","——",IF(M47="住宅",IF(F6*F7*F8/12/(1+'数据-取费表'!F30)&gt;100000,4%,2.5%),IF(F6*F7*F8/12/(1+'数据-取费表'!F30)&gt;100000,12%,7%)))</f>
        <v>——</v>
      </c>
      <c r="G31" s="1666"/>
      <c r="H31" s="2754" t="s">
        <v>2272</v>
      </c>
      <c r="I31" s="1676"/>
      <c r="J31" s="1677"/>
      <c r="K31" s="1634"/>
      <c r="L31" s="1678"/>
      <c r="M31" s="1679"/>
    </row>
    <row r="32" spans="1:33" ht="18" customHeight="1">
      <c r="A32" s="1366" t="s">
        <v>1360</v>
      </c>
      <c r="B32" s="718" t="s">
        <v>1323</v>
      </c>
      <c r="C32" s="48">
        <f ca="1">ROUND(C6*F32/(1+'数据-取费表'!C42),2)</f>
        <v>0</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0</v>
      </c>
      <c r="D33" s="744" t="s">
        <v>3235</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4.7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15678.57</v>
      </c>
      <c r="G35" s="1666"/>
      <c r="H35" s="1675"/>
      <c r="I35" s="770" t="s">
        <v>1343</v>
      </c>
      <c r="J35" s="771">
        <f ca="1">ROUND(C13*J36,0)</f>
        <v>0</v>
      </c>
      <c r="K35" s="1687"/>
      <c r="L35" s="1686"/>
      <c r="M35" s="1686"/>
    </row>
    <row r="36" spans="1:18" ht="18" customHeight="1">
      <c r="A36" s="1367" t="s">
        <v>1414</v>
      </c>
      <c r="B36" s="718" t="s">
        <v>1331</v>
      </c>
      <c r="C36" s="48">
        <f ca="1">ROUND(C29*F36,2)</f>
        <v>0</v>
      </c>
      <c r="D36" s="904" t="s">
        <v>1332</v>
      </c>
      <c r="E36" s="718" t="s">
        <v>1325</v>
      </c>
      <c r="F36" s="750">
        <f ca="1">INDIRECT("'数据-取费表'!Ak"&amp;$G$1)</f>
        <v>0</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0</v>
      </c>
      <c r="D37" s="904" t="s">
        <v>1333</v>
      </c>
      <c r="E37" s="718" t="s">
        <v>1325</v>
      </c>
      <c r="F37" s="751">
        <f ca="1">INDIRECT("'数据-取费表'!Al"&amp;$G$1)</f>
        <v>0</v>
      </c>
      <c r="G37" s="1666"/>
      <c r="H37" s="1686"/>
      <c r="I37" s="774" t="s">
        <v>1345</v>
      </c>
      <c r="J37" s="775"/>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6" t="s">
        <v>1346</v>
      </c>
      <c r="J38" s="777"/>
      <c r="K38" s="1691"/>
      <c r="L38" s="1686"/>
      <c r="M38" s="1686"/>
    </row>
    <row r="39" spans="1:18" ht="24.6" customHeight="1" thickTop="1">
      <c r="A39" s="1518" t="s">
        <v>1419</v>
      </c>
      <c r="B39" s="2295" t="s">
        <v>2099</v>
      </c>
      <c r="C39" s="726">
        <f ca="1">C5-C30</f>
        <v>-5</v>
      </c>
      <c r="D39" s="2022" t="s">
        <v>1335</v>
      </c>
      <c r="E39" s="2023"/>
      <c r="F39" s="2024"/>
      <c r="G39" s="1666"/>
      <c r="H39" s="1686"/>
      <c r="I39" s="770" t="s">
        <v>1347</v>
      </c>
      <c r="J39" s="778">
        <f ca="1">ROUND(J35/C39,3)</f>
        <v>0</v>
      </c>
      <c r="K39" s="1691"/>
      <c r="L39" s="1686"/>
      <c r="M39" s="1686"/>
    </row>
    <row r="40" spans="1:18" ht="18" customHeight="1">
      <c r="A40" s="715" t="s">
        <v>1420</v>
      </c>
      <c r="B40" s="1824" t="s">
        <v>1658</v>
      </c>
      <c r="C40" s="717">
        <f ca="1">ROUND(C39*(1-((1+F42)/(1+F40))^F41)/(F40-F42),0)</f>
        <v>0</v>
      </c>
      <c r="D40" s="747" t="s">
        <v>1336</v>
      </c>
      <c r="E40" s="718" t="s">
        <v>1773</v>
      </c>
      <c r="F40" s="728">
        <f ca="1">INDIRECT("'数据-取费表'!I"&amp;$G$1)</f>
        <v>4.4999999999999998E-2</v>
      </c>
      <c r="G40" s="1666"/>
      <c r="H40" s="1666"/>
      <c r="I40" s="770" t="s">
        <v>1348</v>
      </c>
      <c r="J40" s="778">
        <f ca="1">1-J39</f>
        <v>1</v>
      </c>
      <c r="K40" s="1691"/>
      <c r="L40" s="1666"/>
      <c r="M40" s="1666"/>
    </row>
    <row r="41" spans="1:18" ht="18" customHeight="1">
      <c r="A41" s="720"/>
      <c r="B41" s="721"/>
      <c r="C41" s="722"/>
      <c r="D41" s="754" t="s">
        <v>1337</v>
      </c>
      <c r="E41" s="718" t="s">
        <v>2215</v>
      </c>
      <c r="F41" s="755">
        <f ca="1">IF(INDIRECT("'数据-取费表'!af"&amp;$G$1)=0,INDIRECT("'数据-取费表'!ae"&amp;$G$1),INDIRECT("'数据-取费表'!af"&amp;$G$1))</f>
        <v>0</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t="e">
        <f ca="1">ROUND(C13/C40,3)</f>
        <v>#DIV/0!</v>
      </c>
      <c r="K42" s="1690"/>
      <c r="L42" s="1634"/>
      <c r="M42" s="1634"/>
    </row>
    <row r="43" spans="1:18" ht="18" customHeight="1" thickBot="1">
      <c r="A43" s="756" t="s">
        <v>1316</v>
      </c>
      <c r="B43" s="757" t="s">
        <v>1339</v>
      </c>
      <c r="C43" s="758">
        <f ca="1">ROUND(C40*10000/F43,0)</f>
        <v>0</v>
      </c>
      <c r="D43" s="759" t="s">
        <v>1340</v>
      </c>
      <c r="E43" s="760" t="s">
        <v>1341</v>
      </c>
      <c r="F43" s="761">
        <f ca="1">INDIRECT("'数据-取费表'!k"&amp;$G$1)</f>
        <v>47623.45</v>
      </c>
      <c r="G43" s="1666"/>
      <c r="H43" s="1634"/>
      <c r="I43" s="780" t="s">
        <v>1351</v>
      </c>
      <c r="J43" s="781"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58"/>
      <c r="E46" s="2758"/>
      <c r="F46" s="2758"/>
      <c r="I46" s="1937" t="s">
        <v>1697</v>
      </c>
      <c r="J46" s="1938"/>
      <c r="K46" s="1939"/>
      <c r="L46" s="2373">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5" t="s">
        <v>1698</v>
      </c>
      <c r="J47" s="1940"/>
      <c r="K47" s="2370" t="s">
        <v>1703</v>
      </c>
      <c r="L47" s="2374">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c r="K48" s="2371" t="s">
        <v>1705</v>
      </c>
      <c r="L48" s="1565">
        <f ca="1">INDIRECT("'数据-取费表'!f"&amp;$G$1)</f>
        <v>69.58</v>
      </c>
      <c r="M48" s="2759"/>
      <c r="O48" s="1955" t="s">
        <v>1733</v>
      </c>
      <c r="P48" s="1956" t="s">
        <v>1759</v>
      </c>
      <c r="Q48" s="1957">
        <f ca="1">C40+J29</f>
        <v>0</v>
      </c>
      <c r="R48" s="1956" t="s">
        <v>1734</v>
      </c>
    </row>
    <row r="49" spans="1:18" s="1670" customFormat="1" ht="18" customHeight="1" thickBot="1">
      <c r="A49" s="720"/>
      <c r="B49" s="721"/>
      <c r="C49" s="722"/>
      <c r="D49" s="723"/>
      <c r="E49" s="718" t="s">
        <v>1268</v>
      </c>
      <c r="F49" s="719">
        <f ca="1">F7</f>
        <v>47623.45</v>
      </c>
      <c r="G49" s="1697"/>
      <c r="H49" s="1700"/>
      <c r="I49" s="2362" t="s">
        <v>1700</v>
      </c>
      <c r="J49" s="1942"/>
      <c r="K49" s="2372"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0</v>
      </c>
      <c r="H50" s="1700"/>
      <c r="I50" s="2362" t="s">
        <v>1701</v>
      </c>
      <c r="J50" s="2369">
        <f>SUMPRODUCT((I63:I65=J47)*(J62:L62=J48)*(J63:L65))</f>
        <v>0</v>
      </c>
      <c r="K50" s="2372" t="s">
        <v>1707</v>
      </c>
      <c r="L50" s="1564"/>
      <c r="M50" s="2759"/>
      <c r="O50" s="1958" t="s">
        <v>1737</v>
      </c>
      <c r="P50" s="1956" t="s">
        <v>1761</v>
      </c>
      <c r="Q50" s="1957">
        <f ca="1">C29</f>
        <v>53179</v>
      </c>
      <c r="R50" s="1956" t="s">
        <v>1734</v>
      </c>
    </row>
    <row r="51" spans="1:18" s="1670" customFormat="1" ht="18" customHeight="1" thickBot="1">
      <c r="A51" s="720"/>
      <c r="B51" s="721"/>
      <c r="C51" s="722"/>
      <c r="D51" s="723"/>
      <c r="E51" s="718" t="s">
        <v>588</v>
      </c>
      <c r="F51" s="1932"/>
      <c r="H51" s="1700"/>
      <c r="I51" s="2366" t="s">
        <v>1702</v>
      </c>
      <c r="J51" s="1565">
        <f>IF(J49="",J50,J49+J50-YEAR('数据-取费表'!B2))</f>
        <v>0</v>
      </c>
      <c r="K51" s="2362" t="s">
        <v>1708</v>
      </c>
      <c r="L51" s="2375">
        <f ca="1">ROUND(-PV(INDIRECT("'数据-取费表'!h"&amp;$G$1),J51,(C39-C13*J36),0),0)</f>
        <v>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2224</v>
      </c>
      <c r="E52" s="2001" t="s">
        <v>1808</v>
      </c>
      <c r="F52" s="2074"/>
      <c r="I52" s="2367" t="s">
        <v>1775</v>
      </c>
      <c r="J52" s="1943"/>
      <c r="K52" s="2367" t="s">
        <v>1774</v>
      </c>
      <c r="L52" s="1943"/>
      <c r="M52" s="2759"/>
      <c r="O52" s="1958" t="s">
        <v>1740</v>
      </c>
      <c r="P52" s="1956" t="s">
        <v>1741</v>
      </c>
      <c r="Q52" s="1959">
        <f>J52</f>
        <v>0</v>
      </c>
      <c r="R52" s="1960"/>
    </row>
    <row r="53" spans="1:18" s="1670" customFormat="1" ht="39.75" customHeight="1" thickBot="1">
      <c r="A53" s="720"/>
      <c r="B53" s="1998" t="s">
        <v>1856</v>
      </c>
      <c r="C53" s="2002"/>
      <c r="D53" s="2004"/>
      <c r="E53" s="2001"/>
      <c r="F53" s="734"/>
      <c r="I53" s="2368" t="s">
        <v>2227</v>
      </c>
      <c r="J53" s="2414">
        <f ca="1">IF(M47="住宅",IF(D1="——",MAX(J51,L48),MAX(J51,L48-'数据-取费表'!B20)),IF(D1="——",MIN(J51,L48),MIN(J51,L48-'数据-取费表'!B20)))</f>
        <v>69.58</v>
      </c>
      <c r="K53" s="3826" t="s">
        <v>2217</v>
      </c>
      <c r="L53" s="3827"/>
      <c r="M53" s="2759"/>
      <c r="O53" s="1958" t="s">
        <v>1742</v>
      </c>
      <c r="P53" s="1956" t="s">
        <v>1743</v>
      </c>
      <c r="Q53" s="1957">
        <f ca="1">J53</f>
        <v>69.58</v>
      </c>
      <c r="R53" s="1956" t="s">
        <v>1744</v>
      </c>
    </row>
    <row r="54" spans="1:18" s="1670" customFormat="1" ht="18" customHeight="1" thickBot="1">
      <c r="A54" s="2011" t="s">
        <v>1811</v>
      </c>
      <c r="B54" s="2012" t="s">
        <v>1804</v>
      </c>
      <c r="C54" s="2013"/>
      <c r="D54" s="2004"/>
      <c r="E54" s="2001"/>
      <c r="F54" s="734"/>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59"/>
      <c r="O54" s="1955" t="s">
        <v>1745</v>
      </c>
      <c r="P54" s="1956" t="s">
        <v>1762</v>
      </c>
      <c r="Q54" s="1957">
        <f ca="1">Q48+Q49</f>
        <v>0</v>
      </c>
      <c r="R54" s="1960" t="s">
        <v>1746</v>
      </c>
    </row>
    <row r="55" spans="1:18" s="1670" customFormat="1" ht="18" customHeight="1" thickTop="1" thickBot="1">
      <c r="A55" s="731">
        <v>2</v>
      </c>
      <c r="B55" s="732" t="s">
        <v>592</v>
      </c>
      <c r="C55" s="733">
        <f ca="1">C13</f>
        <v>0</v>
      </c>
      <c r="D55" s="729"/>
      <c r="E55" s="729"/>
      <c r="F55" s="734"/>
      <c r="I55" s="2378" t="s">
        <v>1709</v>
      </c>
      <c r="J55" s="2351" t="e">
        <f ca="1">ROUND(IF(J47="钢混",J57/J50,1-(1-2%)*(J50-J57)/J50),3)</f>
        <v>#VALUE!</v>
      </c>
      <c r="K55" s="2379" t="s">
        <v>1710</v>
      </c>
      <c r="L55" s="1944"/>
      <c r="M55" s="2759"/>
      <c r="O55" s="1961" t="s">
        <v>1765</v>
      </c>
      <c r="P55" s="1142"/>
      <c r="Q55" s="1328"/>
      <c r="R55" s="1142"/>
    </row>
    <row r="56" spans="1:18" s="1670" customFormat="1" ht="42.75" customHeight="1" thickBot="1">
      <c r="A56" s="1368"/>
      <c r="B56" s="1823" t="s">
        <v>1659</v>
      </c>
      <c r="C56" s="48">
        <f ca="1">C29</f>
        <v>53179</v>
      </c>
      <c r="D56" s="904"/>
      <c r="E56" s="718"/>
      <c r="F56" s="743"/>
      <c r="I56" s="2380" t="s">
        <v>1711</v>
      </c>
      <c r="J56" s="2390"/>
      <c r="K56" s="2362" t="s">
        <v>1716</v>
      </c>
      <c r="L56" s="1565">
        <f ca="1">IF(L48&lt;J51,"——",L48-J51)</f>
        <v>69.58</v>
      </c>
      <c r="M56" s="2759"/>
      <c r="O56" s="1952" t="s">
        <v>1729</v>
      </c>
      <c r="P56" s="1953" t="s">
        <v>1730</v>
      </c>
      <c r="Q56" s="1954" t="s">
        <v>1731</v>
      </c>
      <c r="R56" s="1953" t="s">
        <v>1732</v>
      </c>
    </row>
    <row r="57" spans="1:18" s="1670" customFormat="1" ht="28.5" customHeight="1" thickBot="1">
      <c r="A57" s="731" t="s">
        <v>1277</v>
      </c>
      <c r="B57" s="732" t="s">
        <v>599</v>
      </c>
      <c r="C57" s="733">
        <f ca="1">ROUND(C58+C63+C64+C65,0)</f>
        <v>5</v>
      </c>
      <c r="D57" s="21" t="s">
        <v>1279</v>
      </c>
      <c r="E57" s="912"/>
      <c r="F57" s="51"/>
      <c r="I57" s="2381" t="s">
        <v>1712</v>
      </c>
      <c r="J57" s="2382" t="str">
        <f ca="1">IF(OR(M47="住宅",J51&lt;L48,J56="是"),"——",J51-L48)</f>
        <v>——</v>
      </c>
      <c r="K57" s="2362" t="s">
        <v>1717</v>
      </c>
      <c r="L57" s="1565">
        <f ca="1">IF(L48&lt;J51,"——",IF(L55="比较法",L49,IF(L55="基准地价",L50,L51)))</f>
        <v>0</v>
      </c>
      <c r="M57" s="2759"/>
      <c r="O57" s="1955" t="s">
        <v>1733</v>
      </c>
      <c r="P57" s="1956" t="s">
        <v>1763</v>
      </c>
      <c r="Q57" s="1957">
        <f ca="1">C40+J29</f>
        <v>0</v>
      </c>
      <c r="R57" s="1956" t="s">
        <v>1734</v>
      </c>
    </row>
    <row r="58" spans="1:18" s="1670" customFormat="1" ht="28.5" customHeight="1" thickBot="1">
      <c r="A58" s="1367" t="s">
        <v>1353</v>
      </c>
      <c r="B58" s="718" t="s">
        <v>604</v>
      </c>
      <c r="C58" s="2553">
        <f ca="1">ROUND(IF(AND(项目基本情况!B11="自然人",项目基本情况!B10="北京市"),C48*F58/(1+'数据-取费表'!C42),C59+C60+C61),2)</f>
        <v>4.7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4.7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15678.57</v>
      </c>
      <c r="I62" s="2386" t="s">
        <v>1721</v>
      </c>
      <c r="J62" s="2387" t="s">
        <v>1722</v>
      </c>
      <c r="K62" s="2387" t="s">
        <v>1723</v>
      </c>
      <c r="L62" s="2387" t="s">
        <v>1704</v>
      </c>
      <c r="M62" s="2388" t="s">
        <v>2196</v>
      </c>
      <c r="O62" s="1958" t="s">
        <v>1742</v>
      </c>
      <c r="P62" s="1956" t="str">
        <f>K59</f>
        <v>建筑物剩余耐用年限下的土地年期修正系数Kn</v>
      </c>
      <c r="Q62" s="1957" t="e">
        <f ca="1">L59</f>
        <v>#DIV/0!</v>
      </c>
      <c r="R62" s="1960" t="s">
        <v>1751</v>
      </c>
    </row>
    <row r="63" spans="1:18" s="1670" customFormat="1" ht="15.75" thickBot="1">
      <c r="A63" s="1367" t="s">
        <v>1414</v>
      </c>
      <c r="B63" s="718" t="s">
        <v>623</v>
      </c>
      <c r="C63" s="48">
        <f ca="1">ROUND(C56*F63,2)</f>
        <v>0</v>
      </c>
      <c r="D63" s="904" t="s">
        <v>1332</v>
      </c>
      <c r="E63" s="718" t="s">
        <v>1276</v>
      </c>
      <c r="F63" s="750">
        <f t="shared" ca="1" si="0"/>
        <v>0</v>
      </c>
      <c r="I63" s="2386" t="s">
        <v>1724</v>
      </c>
      <c r="J63" s="2387">
        <v>70</v>
      </c>
      <c r="K63" s="2387">
        <v>50</v>
      </c>
      <c r="L63" s="2387">
        <v>80</v>
      </c>
      <c r="M63" s="2389">
        <v>0.02</v>
      </c>
      <c r="O63" s="1955" t="s">
        <v>1745</v>
      </c>
      <c r="P63" s="1956" t="s">
        <v>1762</v>
      </c>
      <c r="Q63" s="1957">
        <f ca="1">Q57+Q58</f>
        <v>0</v>
      </c>
      <c r="R63" s="1960" t="s">
        <v>1746</v>
      </c>
    </row>
    <row r="64" spans="1:18" s="1670" customFormat="1" ht="16.5" thickBot="1">
      <c r="A64" s="1367" t="s">
        <v>1415</v>
      </c>
      <c r="B64" s="718" t="s">
        <v>626</v>
      </c>
      <c r="C64" s="48">
        <f ca="1">ROUND(C55*F64,2)</f>
        <v>0</v>
      </c>
      <c r="D64" s="904" t="s">
        <v>627</v>
      </c>
      <c r="E64" s="718" t="s">
        <v>1276</v>
      </c>
      <c r="F64" s="751">
        <f t="shared" ca="1" si="0"/>
        <v>0</v>
      </c>
      <c r="I64" s="2386" t="s">
        <v>1725</v>
      </c>
      <c r="J64" s="2387">
        <v>50</v>
      </c>
      <c r="K64" s="2387">
        <v>35</v>
      </c>
      <c r="L64" s="2387">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v>
      </c>
      <c r="I65" s="2386" t="s">
        <v>1726</v>
      </c>
      <c r="J65" s="2387">
        <v>40</v>
      </c>
      <c r="K65" s="2387">
        <v>30</v>
      </c>
      <c r="L65" s="2387">
        <v>50</v>
      </c>
      <c r="M65" s="2389">
        <v>0.02</v>
      </c>
      <c r="O65" s="1952" t="s">
        <v>1729</v>
      </c>
      <c r="P65" s="1953" t="s">
        <v>1730</v>
      </c>
      <c r="Q65" s="1954" t="s">
        <v>1731</v>
      </c>
      <c r="R65" s="1953" t="s">
        <v>1732</v>
      </c>
    </row>
    <row r="66" spans="1:18" s="1670" customFormat="1" ht="24.75" thickBot="1">
      <c r="A66" s="731" t="s">
        <v>1305</v>
      </c>
      <c r="B66" s="2296" t="s">
        <v>2099</v>
      </c>
      <c r="C66" s="733">
        <f ca="1">C47-C57</f>
        <v>-5</v>
      </c>
      <c r="D66" s="903" t="s">
        <v>647</v>
      </c>
      <c r="E66" s="901"/>
      <c r="F66" s="753"/>
      <c r="K66" s="1694"/>
      <c r="O66" s="1955" t="s">
        <v>1733</v>
      </c>
      <c r="P66" s="1956" t="s">
        <v>1763</v>
      </c>
      <c r="Q66" s="1957">
        <f ca="1">C40+J29</f>
        <v>0</v>
      </c>
      <c r="R66" s="1956" t="s">
        <v>1734</v>
      </c>
    </row>
    <row r="67" spans="1:18" s="1670" customFormat="1" ht="20.25" thickBot="1">
      <c r="A67" s="715" t="s">
        <v>1309</v>
      </c>
      <c r="B67" s="1824" t="s">
        <v>1658</v>
      </c>
      <c r="C67" s="717">
        <f ca="1">ROUND(C66*(1-((1+F69)/(1+F67))^F68)/(F67-F69),0)</f>
        <v>0</v>
      </c>
      <c r="D67" s="747" t="s">
        <v>651</v>
      </c>
      <c r="E67" s="718" t="s">
        <v>652</v>
      </c>
      <c r="F67" s="728">
        <f ca="1">F40</f>
        <v>4.4999999999999998E-2</v>
      </c>
      <c r="K67" s="1694"/>
      <c r="O67" s="1955" t="s">
        <v>1735</v>
      </c>
      <c r="P67" s="1956" t="s">
        <v>1766</v>
      </c>
      <c r="Q67" s="1957">
        <f ca="1">L60</f>
        <v>0</v>
      </c>
      <c r="R67" s="1960" t="s">
        <v>1768</v>
      </c>
    </row>
    <row r="68" spans="1:18" ht="21.75" thickBot="1">
      <c r="A68" s="720"/>
      <c r="B68" s="721"/>
      <c r="C68" s="722"/>
      <c r="D68" s="754" t="s">
        <v>1337</v>
      </c>
      <c r="E68" s="718" t="s">
        <v>1313</v>
      </c>
      <c r="F68" s="755">
        <f ca="1">F41</f>
        <v>0</v>
      </c>
      <c r="O68" s="1958" t="s">
        <v>1737</v>
      </c>
      <c r="P68" s="1956" t="s">
        <v>1767</v>
      </c>
      <c r="Q68" s="1962">
        <f ca="1">L51</f>
        <v>0</v>
      </c>
      <c r="R68" s="1963" t="s">
        <v>1770</v>
      </c>
    </row>
    <row r="69" spans="1:18" ht="20.25" thickBot="1">
      <c r="A69" s="724"/>
      <c r="B69" s="725"/>
      <c r="C69" s="726"/>
      <c r="D69" s="749"/>
      <c r="E69" s="718" t="s">
        <v>657</v>
      </c>
      <c r="F69" s="1932"/>
      <c r="O69" s="1958" t="s">
        <v>1738</v>
      </c>
      <c r="P69" s="1964" t="s">
        <v>1752</v>
      </c>
      <c r="Q69" s="1957">
        <f ca="1">ROUND(Q70-Q71*Q72,0)</f>
        <v>-5</v>
      </c>
      <c r="R69" s="1960"/>
    </row>
    <row r="70" spans="1:18" ht="15.75" thickBot="1">
      <c r="A70" s="756" t="s">
        <v>1316</v>
      </c>
      <c r="B70" s="757" t="s">
        <v>1339</v>
      </c>
      <c r="C70" s="758">
        <f ca="1">ROUND(C67*10000/F70,0)</f>
        <v>0</v>
      </c>
      <c r="D70" s="759" t="s">
        <v>1340</v>
      </c>
      <c r="E70" s="760" t="s">
        <v>1341</v>
      </c>
      <c r="F70" s="761">
        <f ca="1">F43</f>
        <v>47623.45</v>
      </c>
      <c r="O70" s="1958" t="s">
        <v>1753</v>
      </c>
      <c r="P70" s="1964" t="s">
        <v>1754</v>
      </c>
      <c r="Q70" s="1957">
        <f ca="1">C39</f>
        <v>-5</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估价范围判定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2432</v>
      </c>
      <c r="B1" s="2812"/>
      <c r="C1" s="2825"/>
      <c r="D1" s="2825"/>
      <c r="E1" s="2813"/>
      <c r="F1" s="2814"/>
      <c r="G1" s="2815"/>
      <c r="J1" s="2818" t="s">
        <v>2289</v>
      </c>
      <c r="K1" s="2819"/>
      <c r="L1" s="2819"/>
      <c r="M1" s="2819"/>
      <c r="N1" s="2819"/>
      <c r="O1" s="2819"/>
      <c r="P1" s="2819"/>
      <c r="Q1" s="2819"/>
      <c r="R1" s="2820"/>
      <c r="S1" s="2821"/>
      <c r="T1" s="2821"/>
      <c r="U1" s="2821"/>
    </row>
    <row r="2" spans="1:22" s="2834" customFormat="1" ht="13.15" customHeight="1">
      <c r="A2" s="2823" t="s">
        <v>2290</v>
      </c>
      <c r="B2" s="2824" t="e">
        <f>C40</f>
        <v>#DIV/0!</v>
      </c>
      <c r="C2" s="2825" t="s">
        <v>2291</v>
      </c>
      <c r="D2" s="2825"/>
      <c r="E2" s="2826"/>
      <c r="F2" s="2827"/>
      <c r="G2" s="2828"/>
      <c r="H2" s="2829"/>
      <c r="I2" s="2830"/>
      <c r="J2" s="3834" t="s">
        <v>2292</v>
      </c>
      <c r="K2" s="3835"/>
      <c r="L2" s="2831" t="s">
        <v>2293</v>
      </c>
      <c r="M2" s="2831" t="s">
        <v>2294</v>
      </c>
      <c r="N2" s="2831" t="s">
        <v>2295</v>
      </c>
      <c r="O2" s="2831" t="s">
        <v>2296</v>
      </c>
      <c r="P2" s="2831" t="s">
        <v>2297</v>
      </c>
      <c r="Q2" s="2832" t="s">
        <v>2298</v>
      </c>
      <c r="R2" s="2833" t="s">
        <v>2299</v>
      </c>
      <c r="S2" s="2821"/>
      <c r="T2" s="2821"/>
      <c r="U2" s="2821"/>
      <c r="V2" s="2830"/>
    </row>
    <row r="3" spans="1:22" s="2834" customFormat="1" ht="13.15" customHeight="1">
      <c r="A3" s="2835" t="s">
        <v>2300</v>
      </c>
      <c r="B3" s="2836" t="e">
        <f>ROUND(B2*10000/B4,0)</f>
        <v>#DIV/0!</v>
      </c>
      <c r="C3" s="2825" t="s">
        <v>2301</v>
      </c>
      <c r="D3" s="2825"/>
      <c r="E3" s="2826"/>
      <c r="F3" s="2827"/>
      <c r="G3" s="2828"/>
      <c r="H3" s="2829"/>
      <c r="I3" s="2830"/>
      <c r="J3" s="3836" t="s">
        <v>2302</v>
      </c>
      <c r="K3" s="3837"/>
      <c r="L3" s="2837"/>
      <c r="M3" s="2837"/>
      <c r="N3" s="2837"/>
      <c r="O3" s="2837"/>
      <c r="P3" s="2837"/>
      <c r="Q3" s="2838"/>
      <c r="R3" s="2839">
        <f>SUM(L3:Q3)</f>
        <v>0</v>
      </c>
      <c r="S3" s="2821"/>
      <c r="T3" s="2821"/>
      <c r="U3" s="2821"/>
      <c r="V3" s="2830"/>
    </row>
    <row r="4" spans="1:22" s="2834" customFormat="1" ht="13.15" customHeight="1">
      <c r="A4" s="2840" t="s">
        <v>2303</v>
      </c>
      <c r="B4" s="2841"/>
      <c r="C4" s="2825"/>
      <c r="D4" s="2825"/>
      <c r="E4" s="2826"/>
      <c r="F4" s="2827"/>
      <c r="G4" s="2828"/>
      <c r="H4" s="2829"/>
      <c r="I4" s="2830"/>
      <c r="J4" s="3836" t="s">
        <v>2304</v>
      </c>
      <c r="K4" s="3837"/>
      <c r="L4" s="2842"/>
      <c r="M4" s="2842"/>
      <c r="N4" s="2842"/>
      <c r="O4" s="2842"/>
      <c r="P4" s="2842"/>
      <c r="Q4" s="2843"/>
      <c r="R4" s="2844">
        <f>SUM(L4:Q4)</f>
        <v>0</v>
      </c>
      <c r="S4" s="2821"/>
      <c r="T4" s="2821"/>
      <c r="U4" s="2821"/>
      <c r="V4" s="2830"/>
    </row>
    <row r="5" spans="1:22" s="2834" customFormat="1" ht="13.15" customHeight="1" thickBot="1">
      <c r="A5" s="2845" t="s">
        <v>2305</v>
      </c>
      <c r="B5" s="2846"/>
      <c r="C5" s="2825"/>
      <c r="D5" s="2847"/>
      <c r="E5" s="2827"/>
      <c r="F5" s="2827"/>
      <c r="G5" s="2828"/>
      <c r="H5" s="2829"/>
      <c r="I5" s="2830"/>
      <c r="J5" s="2848" t="s">
        <v>2306</v>
      </c>
      <c r="K5" s="2849"/>
      <c r="L5" s="2849"/>
      <c r="M5" s="2850"/>
      <c r="N5" s="2850"/>
      <c r="O5" s="2850"/>
      <c r="P5" s="2850"/>
      <c r="Q5" s="2850"/>
      <c r="R5" s="2833">
        <f>SUM(R14,R19,R24,R25,R27,R28)</f>
        <v>0</v>
      </c>
      <c r="S5" s="2821"/>
      <c r="T5" s="2821" t="s">
        <v>2307</v>
      </c>
      <c r="U5" s="2821" t="e">
        <f>ROUND(R5*10000/365/R3,1)</f>
        <v>#DIV/0!</v>
      </c>
      <c r="V5" s="2830"/>
    </row>
    <row r="6" spans="1:22" s="2834" customFormat="1" ht="13.15" customHeight="1" thickBot="1">
      <c r="A6" s="3842" t="s">
        <v>2308</v>
      </c>
      <c r="B6" s="3843"/>
      <c r="C6" s="3844"/>
      <c r="D6" s="2851"/>
      <c r="E6" s="2852"/>
      <c r="F6" s="2853"/>
      <c r="G6" s="2854"/>
      <c r="H6" s="2829"/>
      <c r="I6" s="2830"/>
      <c r="J6" s="3828">
        <v>1</v>
      </c>
      <c r="K6" s="3829" t="s">
        <v>2309</v>
      </c>
      <c r="L6" s="2855" t="s">
        <v>2310</v>
      </c>
      <c r="M6" s="2856" t="s">
        <v>2311</v>
      </c>
      <c r="N6" s="2856" t="s">
        <v>2312</v>
      </c>
      <c r="O6" s="2856" t="s">
        <v>2313</v>
      </c>
      <c r="P6" s="2856" t="s">
        <v>2314</v>
      </c>
      <c r="Q6" s="2856" t="s">
        <v>2315</v>
      </c>
      <c r="R6" s="2839" t="s">
        <v>2316</v>
      </c>
      <c r="S6" s="2821"/>
      <c r="T6" s="2821" t="s">
        <v>2317</v>
      </c>
      <c r="U6" s="2821"/>
      <c r="V6" s="2830"/>
    </row>
    <row r="7" spans="1:22" s="2834" customFormat="1" ht="13.15" customHeight="1">
      <c r="A7" s="2857" t="s">
        <v>2318</v>
      </c>
      <c r="B7" s="2858"/>
      <c r="C7" s="2859"/>
      <c r="D7" s="2860">
        <f>SUM(D9,D10,D11,D17,0)</f>
        <v>0</v>
      </c>
      <c r="E7" s="2861" t="e">
        <f>E9+E10+E11+E17</f>
        <v>#DIV/0!</v>
      </c>
      <c r="F7" s="2862"/>
      <c r="G7" s="2863"/>
      <c r="H7" s="2829"/>
      <c r="I7" s="2830"/>
      <c r="J7" s="3828"/>
      <c r="K7" s="3830"/>
      <c r="L7" s="2864" t="s">
        <v>2319</v>
      </c>
      <c r="M7" s="2865"/>
      <c r="N7" s="2841"/>
      <c r="O7" s="2866"/>
      <c r="P7" s="2866"/>
      <c r="Q7" s="2867">
        <v>365</v>
      </c>
      <c r="R7" s="2868">
        <f>ROUND(M7*N7*O7*P7*Q7/10000,0)</f>
        <v>0</v>
      </c>
      <c r="S7" s="2821"/>
      <c r="T7" s="2821" t="s">
        <v>2320</v>
      </c>
      <c r="U7" s="2821"/>
      <c r="V7" s="2830"/>
    </row>
    <row r="8" spans="1:22" s="2834" customFormat="1" ht="13.15" customHeight="1">
      <c r="A8" s="2869" t="s">
        <v>2321</v>
      </c>
      <c r="B8" s="3845" t="s">
        <v>2322</v>
      </c>
      <c r="C8" s="3846"/>
      <c r="D8" s="2870" t="s">
        <v>2323</v>
      </c>
      <c r="E8" s="2871" t="s">
        <v>2324</v>
      </c>
      <c r="F8" s="2872" t="s">
        <v>2325</v>
      </c>
      <c r="G8" s="2873"/>
      <c r="H8" s="2829"/>
      <c r="I8" s="2830"/>
      <c r="J8" s="3828"/>
      <c r="K8" s="3830"/>
      <c r="L8" s="2864" t="s">
        <v>2326</v>
      </c>
      <c r="M8" s="2865"/>
      <c r="N8" s="2841"/>
      <c r="O8" s="2866"/>
      <c r="P8" s="2866"/>
      <c r="Q8" s="2867">
        <v>365</v>
      </c>
      <c r="R8" s="2868">
        <f t="shared" ref="R8:R13" si="0">ROUND(M8*N8*O8*P8*Q8/10000,0)</f>
        <v>0</v>
      </c>
      <c r="S8" s="2821"/>
      <c r="T8" s="2821" t="s">
        <v>2327</v>
      </c>
      <c r="U8" s="2821"/>
      <c r="V8" s="2830"/>
    </row>
    <row r="9" spans="1:22" s="2834" customFormat="1" ht="13.15" customHeight="1">
      <c r="A9" s="2869">
        <v>1</v>
      </c>
      <c r="B9" s="3845" t="s">
        <v>2328</v>
      </c>
      <c r="C9" s="3846"/>
      <c r="D9" s="2870">
        <f>ROUND(D6*E9,0)</f>
        <v>0</v>
      </c>
      <c r="E9" s="2874"/>
      <c r="F9" s="2875" t="s">
        <v>2329</v>
      </c>
      <c r="G9" s="2854"/>
      <c r="H9" s="2829"/>
      <c r="I9" s="2830"/>
      <c r="J9" s="3828"/>
      <c r="K9" s="3830"/>
      <c r="L9" s="2864" t="s">
        <v>2330</v>
      </c>
      <c r="M9" s="2865"/>
      <c r="N9" s="2841"/>
      <c r="O9" s="2866"/>
      <c r="P9" s="2866"/>
      <c r="Q9" s="2867">
        <v>365</v>
      </c>
      <c r="R9" s="2868">
        <f t="shared" si="0"/>
        <v>0</v>
      </c>
      <c r="S9" s="2821"/>
      <c r="T9" s="2821"/>
      <c r="U9" s="2821"/>
      <c r="V9" s="2830"/>
    </row>
    <row r="10" spans="1:22" s="2834" customFormat="1" ht="13.15" customHeight="1">
      <c r="A10" s="2869">
        <v>2</v>
      </c>
      <c r="B10" s="3845" t="s">
        <v>2331</v>
      </c>
      <c r="C10" s="3846"/>
      <c r="D10" s="2870">
        <f>ROUND(D6*E10,0)</f>
        <v>0</v>
      </c>
      <c r="E10" s="2874"/>
      <c r="F10" s="2875" t="s">
        <v>2332</v>
      </c>
      <c r="G10" s="2854"/>
      <c r="H10" s="2829"/>
      <c r="I10" s="2830"/>
      <c r="J10" s="3828"/>
      <c r="K10" s="3830"/>
      <c r="L10" s="2864" t="s">
        <v>2333</v>
      </c>
      <c r="M10" s="2865"/>
      <c r="N10" s="2841"/>
      <c r="O10" s="2866"/>
      <c r="P10" s="2866"/>
      <c r="Q10" s="2867">
        <v>365</v>
      </c>
      <c r="R10" s="2868">
        <f t="shared" si="0"/>
        <v>0</v>
      </c>
      <c r="S10" s="2821"/>
      <c r="T10" s="2821"/>
      <c r="U10" s="2821"/>
      <c r="V10" s="2830"/>
    </row>
    <row r="11" spans="1:22" s="2834" customFormat="1" ht="13.15" customHeight="1">
      <c r="A11" s="2869">
        <v>3</v>
      </c>
      <c r="B11" s="3845" t="s">
        <v>2334</v>
      </c>
      <c r="C11" s="3846"/>
      <c r="D11" s="2870">
        <f>D12+D14+D15+D16</f>
        <v>0</v>
      </c>
      <c r="E11" s="2876" t="e">
        <f>D11/D6</f>
        <v>#DIV/0!</v>
      </c>
      <c r="F11" s="2872"/>
      <c r="G11" s="2873"/>
      <c r="H11" s="2829"/>
      <c r="I11" s="2830"/>
      <c r="J11" s="3828"/>
      <c r="K11" s="3830"/>
      <c r="L11" s="2864" t="s">
        <v>2335</v>
      </c>
      <c r="M11" s="2865"/>
      <c r="N11" s="2841"/>
      <c r="O11" s="2866"/>
      <c r="P11" s="2866"/>
      <c r="Q11" s="2867">
        <v>365</v>
      </c>
      <c r="R11" s="2868">
        <f t="shared" si="0"/>
        <v>0</v>
      </c>
      <c r="S11" s="2821"/>
      <c r="T11" s="2821"/>
      <c r="U11" s="2821"/>
      <c r="V11" s="2830"/>
    </row>
    <row r="12" spans="1:22" s="2834" customFormat="1" ht="13.15" customHeight="1">
      <c r="A12" s="2877" t="s">
        <v>2336</v>
      </c>
      <c r="B12" s="3838" t="s">
        <v>2337</v>
      </c>
      <c r="C12" s="3839"/>
      <c r="D12" s="2878">
        <f>ROUND(D13*1.2%*(1-30%),0)</f>
        <v>0</v>
      </c>
      <c r="E12" s="2879">
        <v>1.2E-2</v>
      </c>
      <c r="F12" s="2872" t="s">
        <v>2338</v>
      </c>
      <c r="G12" s="2873"/>
      <c r="H12" s="2829"/>
      <c r="I12" s="2830"/>
      <c r="J12" s="3828"/>
      <c r="K12" s="3830"/>
      <c r="L12" s="2864" t="s">
        <v>2339</v>
      </c>
      <c r="M12" s="2865"/>
      <c r="N12" s="2841"/>
      <c r="O12" s="2866"/>
      <c r="P12" s="2866"/>
      <c r="Q12" s="2867">
        <v>365</v>
      </c>
      <c r="R12" s="2868">
        <f t="shared" si="0"/>
        <v>0</v>
      </c>
      <c r="S12" s="2821"/>
      <c r="T12" s="2821"/>
      <c r="U12" s="2821"/>
      <c r="V12" s="2830"/>
    </row>
    <row r="13" spans="1:22" s="2834" customFormat="1" ht="13.15" customHeight="1">
      <c r="A13" s="2877"/>
      <c r="B13" s="2880"/>
      <c r="C13" s="2881" t="s">
        <v>2340</v>
      </c>
      <c r="D13" s="2882"/>
      <c r="E13" s="2883"/>
      <c r="F13" s="2872"/>
      <c r="G13" s="2873"/>
      <c r="H13" s="2829"/>
      <c r="I13" s="2830"/>
      <c r="J13" s="3828"/>
      <c r="K13" s="3830"/>
      <c r="L13" s="2864" t="s">
        <v>2341</v>
      </c>
      <c r="M13" s="2865"/>
      <c r="N13" s="2841"/>
      <c r="O13" s="2866"/>
      <c r="P13" s="2866"/>
      <c r="Q13" s="2867">
        <v>365</v>
      </c>
      <c r="R13" s="2868">
        <f t="shared" si="0"/>
        <v>0</v>
      </c>
      <c r="S13" s="2821"/>
      <c r="T13" s="2821"/>
      <c r="U13" s="2821"/>
      <c r="V13" s="2830"/>
    </row>
    <row r="14" spans="1:22" s="2834" customFormat="1" ht="13.15" customHeight="1">
      <c r="A14" s="2877" t="s">
        <v>2342</v>
      </c>
      <c r="B14" s="3838" t="s">
        <v>2343</v>
      </c>
      <c r="C14" s="3839"/>
      <c r="D14" s="2878">
        <f>ROUND(E14*B5/10000,0)</f>
        <v>0</v>
      </c>
      <c r="E14" s="2867"/>
      <c r="F14" s="2872" t="s">
        <v>2344</v>
      </c>
      <c r="G14" s="2873"/>
      <c r="H14" s="2829"/>
      <c r="I14" s="2830"/>
      <c r="J14" s="3828"/>
      <c r="K14" s="3831"/>
      <c r="L14" s="2884" t="s">
        <v>2345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2346</v>
      </c>
      <c r="B15" s="3838" t="s">
        <v>2347</v>
      </c>
      <c r="C15" s="3839"/>
      <c r="D15" s="2878">
        <f>ROUND(D6*E15,0)</f>
        <v>0</v>
      </c>
      <c r="E15" s="2879">
        <v>5.5E-2</v>
      </c>
      <c r="F15" s="2872" t="s">
        <v>2348</v>
      </c>
      <c r="G15" s="2854"/>
      <c r="H15" s="2829"/>
      <c r="I15" s="2830"/>
      <c r="J15" s="3828">
        <v>2</v>
      </c>
      <c r="K15" s="3829" t="s">
        <v>2349</v>
      </c>
      <c r="L15" s="2864" t="s">
        <v>2350</v>
      </c>
      <c r="M15" s="2865" t="s">
        <v>2351</v>
      </c>
      <c r="N15" s="2865" t="s">
        <v>2352</v>
      </c>
      <c r="O15" s="2866" t="s">
        <v>2353</v>
      </c>
      <c r="P15" s="2866" t="s">
        <v>2354</v>
      </c>
      <c r="Q15" s="2841" t="s">
        <v>2355</v>
      </c>
      <c r="R15" s="2888" t="s">
        <v>2356</v>
      </c>
      <c r="S15" s="2821"/>
      <c r="T15" s="2821"/>
      <c r="U15" s="2821"/>
      <c r="V15" s="2830"/>
    </row>
    <row r="16" spans="1:22" s="2834" customFormat="1" ht="13.15" customHeight="1">
      <c r="A16" s="2877" t="s">
        <v>2357</v>
      </c>
      <c r="B16" s="3838" t="s">
        <v>2358</v>
      </c>
      <c r="C16" s="3839"/>
      <c r="D16" s="2889">
        <f>D6*E16</f>
        <v>0</v>
      </c>
      <c r="E16" s="2890"/>
      <c r="F16" s="2875" t="s">
        <v>2359</v>
      </c>
      <c r="G16" s="2854"/>
      <c r="H16" s="2829"/>
      <c r="I16" s="2830"/>
      <c r="J16" s="3828"/>
      <c r="K16" s="3830"/>
      <c r="L16" s="2864" t="s">
        <v>2360</v>
      </c>
      <c r="M16" s="2865"/>
      <c r="N16" s="2865"/>
      <c r="O16" s="2866"/>
      <c r="P16" s="2867">
        <v>365</v>
      </c>
      <c r="Q16" s="2841"/>
      <c r="R16" s="2888">
        <f>ROUND(M16*N16*O16*P16/10000,0)</f>
        <v>0</v>
      </c>
      <c r="S16" s="2821"/>
      <c r="T16" s="2821"/>
      <c r="U16" s="2821"/>
      <c r="V16" s="2830"/>
    </row>
    <row r="17" spans="1:22" s="2834" customFormat="1" ht="13.15" customHeight="1" thickBot="1">
      <c r="A17" s="2891">
        <v>4</v>
      </c>
      <c r="B17" s="3840" t="s">
        <v>2361</v>
      </c>
      <c r="C17" s="3841"/>
      <c r="D17" s="2892">
        <f>ROUND(D6*E17,0)</f>
        <v>0</v>
      </c>
      <c r="E17" s="2893"/>
      <c r="F17" s="2894" t="s">
        <v>2362</v>
      </c>
      <c r="G17" s="2854"/>
      <c r="H17" s="2829"/>
      <c r="I17" s="2830"/>
      <c r="J17" s="3828"/>
      <c r="K17" s="3830"/>
      <c r="L17" s="2864" t="s">
        <v>2363</v>
      </c>
      <c r="M17" s="2865"/>
      <c r="N17" s="2865"/>
      <c r="O17" s="2866"/>
      <c r="P17" s="2867">
        <v>365</v>
      </c>
      <c r="Q17" s="2841"/>
      <c r="R17" s="2888">
        <f>ROUND(M17*N17*O17*P17/10000,0)</f>
        <v>0</v>
      </c>
      <c r="S17" s="2821"/>
      <c r="T17" s="2821"/>
      <c r="U17" s="2821"/>
      <c r="V17" s="2830"/>
    </row>
    <row r="18" spans="1:22" s="2834" customFormat="1" ht="13.15" customHeight="1" thickBot="1">
      <c r="A18" s="2857" t="s">
        <v>2364</v>
      </c>
      <c r="B18" s="2858"/>
      <c r="C18" s="2858"/>
      <c r="D18" s="2895">
        <f>ROUND(D6*E18,0)</f>
        <v>0</v>
      </c>
      <c r="E18" s="2896"/>
      <c r="F18" s="2897" t="s">
        <v>2365</v>
      </c>
      <c r="G18" s="2854"/>
      <c r="H18" s="2829"/>
      <c r="I18" s="2830"/>
      <c r="J18" s="3828"/>
      <c r="K18" s="3830"/>
      <c r="L18" s="2864" t="s">
        <v>2366</v>
      </c>
      <c r="M18" s="2865"/>
      <c r="N18" s="2865"/>
      <c r="O18" s="2866"/>
      <c r="P18" s="2867">
        <v>365</v>
      </c>
      <c r="Q18" s="2841"/>
      <c r="R18" s="2888">
        <f>ROUND(M18*N18*O18*P18/10000,0)</f>
        <v>0</v>
      </c>
      <c r="S18" s="2821"/>
      <c r="T18" s="2821"/>
      <c r="U18" s="2821"/>
      <c r="V18" s="2830"/>
    </row>
    <row r="19" spans="1:22" s="2834" customFormat="1" ht="13.15" customHeight="1" thickBot="1">
      <c r="A19" s="2898" t="s">
        <v>2367</v>
      </c>
      <c r="B19" s="2852"/>
      <c r="C19" s="2852"/>
      <c r="D19" s="2852"/>
      <c r="E19" s="2852"/>
      <c r="F19" s="2853"/>
      <c r="G19" s="2873"/>
      <c r="H19" s="2829"/>
      <c r="I19" s="2830"/>
      <c r="J19" s="3828"/>
      <c r="K19" s="3831"/>
      <c r="L19" s="2884" t="s">
        <v>2345</v>
      </c>
      <c r="M19" s="2885"/>
      <c r="N19" s="2885">
        <f>SUM(N16:N18)</f>
        <v>0</v>
      </c>
      <c r="O19" s="2886"/>
      <c r="P19" s="2899" t="s">
        <v>2433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28">
        <v>3</v>
      </c>
      <c r="K20" s="3829" t="s">
        <v>2368</v>
      </c>
      <c r="L20" s="2864" t="s">
        <v>2369</v>
      </c>
      <c r="M20" s="2865" t="s">
        <v>2370</v>
      </c>
      <c r="N20" s="2902" t="s">
        <v>2371</v>
      </c>
      <c r="O20" s="2866" t="s">
        <v>2372</v>
      </c>
      <c r="P20" s="2867" t="s">
        <v>2373</v>
      </c>
      <c r="Q20" s="2841" t="s">
        <v>2374</v>
      </c>
      <c r="R20" s="2888" t="s">
        <v>2316</v>
      </c>
      <c r="S20" s="2821"/>
      <c r="T20" s="2821"/>
      <c r="U20" s="2821"/>
      <c r="V20" s="2830"/>
    </row>
    <row r="21" spans="1:22" s="2834" customFormat="1" ht="13.15" customHeight="1">
      <c r="A21" s="2857"/>
      <c r="B21" s="2858"/>
      <c r="C21" s="2903" t="s">
        <v>2375</v>
      </c>
      <c r="D21" s="2904" t="s">
        <v>2376</v>
      </c>
      <c r="E21" s="2905" t="s">
        <v>2377</v>
      </c>
      <c r="F21" s="2901"/>
      <c r="G21" s="2873"/>
      <c r="H21" s="2829"/>
      <c r="I21" s="2830"/>
      <c r="J21" s="3828"/>
      <c r="K21" s="3830"/>
      <c r="L21" s="2864" t="s">
        <v>2378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2379</v>
      </c>
      <c r="D22" s="2908" t="s">
        <v>2380</v>
      </c>
      <c r="E22" s="2909" t="s">
        <v>2381</v>
      </c>
      <c r="F22" s="2901"/>
      <c r="G22" s="2821"/>
      <c r="H22" s="2829"/>
      <c r="I22" s="2830"/>
      <c r="J22" s="3828"/>
      <c r="K22" s="3830"/>
      <c r="L22" s="2864" t="s">
        <v>2382</v>
      </c>
      <c r="M22" s="2865"/>
      <c r="N22" s="2865"/>
      <c r="O22" s="2866"/>
      <c r="P22" s="2867">
        <v>365</v>
      </c>
      <c r="Q22" s="2841"/>
      <c r="R22" s="2906">
        <f>ROUND(M22*N22*O22*P22/10000,0)</f>
        <v>0</v>
      </c>
      <c r="S22" s="2821"/>
      <c r="T22" s="2821"/>
      <c r="U22" s="2821"/>
      <c r="V22" s="2830"/>
    </row>
    <row r="23" spans="1:22" s="2834" customFormat="1" ht="13.15" customHeight="1">
      <c r="A23" s="2910">
        <v>1</v>
      </c>
      <c r="B23" s="2911" t="s">
        <v>2383</v>
      </c>
      <c r="C23" s="2912">
        <f>D6</f>
        <v>0</v>
      </c>
      <c r="D23" s="2913">
        <f>C23*(1+D24)</f>
        <v>0</v>
      </c>
      <c r="E23" s="2914">
        <f>D23*(1+E24)</f>
        <v>0</v>
      </c>
      <c r="F23" s="2915"/>
      <c r="G23" s="2916"/>
      <c r="H23" s="2829"/>
      <c r="I23" s="2830"/>
      <c r="J23" s="3828"/>
      <c r="K23" s="3830"/>
      <c r="L23" s="2864" t="s">
        <v>2384</v>
      </c>
      <c r="M23" s="2865"/>
      <c r="N23" s="2865"/>
      <c r="O23" s="2866"/>
      <c r="P23" s="2867">
        <v>365</v>
      </c>
      <c r="Q23" s="2841"/>
      <c r="R23" s="2906">
        <f>ROUND(M23*N23*O23*P23/10000,0)</f>
        <v>0</v>
      </c>
      <c r="S23" s="2821"/>
      <c r="T23" s="2821"/>
      <c r="U23" s="2821"/>
      <c r="V23" s="2830"/>
    </row>
    <row r="24" spans="1:22" s="2834" customFormat="1" ht="13.15" customHeight="1">
      <c r="A24" s="2917"/>
      <c r="B24" s="2918" t="s">
        <v>2385</v>
      </c>
      <c r="C24" s="2919"/>
      <c r="D24" s="2920"/>
      <c r="E24" s="2921"/>
      <c r="F24" s="2922"/>
      <c r="G24" s="2916"/>
      <c r="H24" s="2829"/>
      <c r="I24" s="2830"/>
      <c r="J24" s="3828"/>
      <c r="K24" s="3831"/>
      <c r="L24" s="2884" t="s">
        <v>2345</v>
      </c>
      <c r="M24" s="2885">
        <f>SUM(M21:M23)</f>
        <v>0</v>
      </c>
      <c r="N24" s="2885"/>
      <c r="O24" s="2886"/>
      <c r="P24" s="2899" t="s">
        <v>2433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2386</v>
      </c>
      <c r="L25" s="2925"/>
      <c r="M25" s="2925"/>
      <c r="N25" s="2925"/>
      <c r="O25" s="2925"/>
      <c r="P25" s="2926"/>
      <c r="Q25" s="2927"/>
      <c r="R25" s="2900">
        <f>ROUND(R14*Q25,0)</f>
        <v>0</v>
      </c>
      <c r="S25" s="2821"/>
      <c r="T25" s="2821"/>
      <c r="U25" s="2821"/>
      <c r="V25" s="2928"/>
    </row>
    <row r="26" spans="1:22" s="2929" customFormat="1" ht="13.15" customHeight="1">
      <c r="A26" s="2910">
        <v>2</v>
      </c>
      <c r="B26" s="2911" t="s">
        <v>2387</v>
      </c>
      <c r="C26" s="2912">
        <f>D7</f>
        <v>0</v>
      </c>
      <c r="D26" s="2913">
        <f>D23*D27</f>
        <v>0</v>
      </c>
      <c r="E26" s="2914">
        <f>E23*E27</f>
        <v>0</v>
      </c>
      <c r="F26" s="2915"/>
      <c r="G26" s="2916"/>
      <c r="H26" s="2829"/>
      <c r="I26" s="2830"/>
      <c r="J26" s="3832">
        <v>5</v>
      </c>
      <c r="K26" s="2930" t="s">
        <v>2388</v>
      </c>
      <c r="L26" s="2931"/>
      <c r="M26" s="2932"/>
      <c r="N26" s="2933" t="s">
        <v>2389</v>
      </c>
      <c r="O26" s="2933" t="s">
        <v>2390</v>
      </c>
      <c r="P26" s="2934" t="s">
        <v>2391</v>
      </c>
      <c r="Q26" s="2934" t="s">
        <v>2392</v>
      </c>
      <c r="R26" s="2839" t="s">
        <v>2393</v>
      </c>
      <c r="S26" s="2873"/>
      <c r="T26" s="2873"/>
      <c r="U26" s="2873"/>
      <c r="V26" s="2928"/>
    </row>
    <row r="27" spans="1:22" s="2834" customFormat="1" ht="13.15" customHeight="1">
      <c r="A27" s="2917"/>
      <c r="B27" s="2918" t="s">
        <v>2394</v>
      </c>
      <c r="C27" s="2935" t="e">
        <f>E7</f>
        <v>#DIV/0!</v>
      </c>
      <c r="D27" s="2920"/>
      <c r="E27" s="2921"/>
      <c r="F27" s="2922"/>
      <c r="G27" s="2916"/>
      <c r="H27" s="2936"/>
      <c r="I27" s="2928"/>
      <c r="J27" s="3833"/>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2395</v>
      </c>
      <c r="F28" s="2922"/>
      <c r="G28" s="2821"/>
      <c r="H28" s="2936"/>
      <c r="I28" s="2928"/>
      <c r="J28" s="2942">
        <v>6</v>
      </c>
      <c r="K28" s="2943" t="s">
        <v>2396</v>
      </c>
      <c r="L28" s="2944" t="s">
        <v>2397</v>
      </c>
      <c r="M28" s="2945"/>
      <c r="N28" s="2944" t="s">
        <v>2398</v>
      </c>
      <c r="O28" s="2946"/>
      <c r="P28" s="2944" t="s">
        <v>2399</v>
      </c>
      <c r="Q28" s="2947">
        <v>1.4999999999999999E-2</v>
      </c>
      <c r="R28" s="2948"/>
      <c r="S28" s="2821"/>
      <c r="T28" s="2821"/>
      <c r="U28" s="2821"/>
      <c r="V28" s="2928"/>
    </row>
    <row r="29" spans="1:22" s="2929" customFormat="1" ht="13.15" customHeight="1">
      <c r="A29" s="2910">
        <v>3</v>
      </c>
      <c r="B29" s="2911" t="s">
        <v>2400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2402</v>
      </c>
      <c r="K31" s="2819"/>
      <c r="L31" s="2819"/>
      <c r="M31" s="2819"/>
      <c r="N31" s="2819"/>
      <c r="O31" s="2819"/>
      <c r="P31" s="2819"/>
      <c r="Q31" s="2819"/>
      <c r="R31" s="2820"/>
      <c r="S31" s="2821"/>
      <c r="T31" s="2821"/>
      <c r="U31" s="2821"/>
      <c r="V31" s="2928"/>
    </row>
    <row r="32" spans="1:22" s="2929" customFormat="1" ht="13.15" customHeight="1">
      <c r="A32" s="2910">
        <v>4</v>
      </c>
      <c r="B32" s="2911" t="s">
        <v>2403</v>
      </c>
      <c r="C32" s="2912">
        <f>C23-C26-C29</f>
        <v>0</v>
      </c>
      <c r="D32" s="2913">
        <f>D23-D26-D29</f>
        <v>0</v>
      </c>
      <c r="E32" s="2914">
        <f>E23-E26-E29</f>
        <v>0</v>
      </c>
      <c r="F32" s="2915"/>
      <c r="G32" s="2821"/>
      <c r="H32" s="2829"/>
      <c r="I32" s="2830"/>
      <c r="J32" s="3834" t="s">
        <v>2404</v>
      </c>
      <c r="K32" s="3835"/>
      <c r="L32" s="2831" t="s">
        <v>2405</v>
      </c>
      <c r="M32" s="2831" t="s">
        <v>2294</v>
      </c>
      <c r="N32" s="2831" t="s">
        <v>2295</v>
      </c>
      <c r="O32" s="2831" t="s">
        <v>2296</v>
      </c>
      <c r="P32" s="2831" t="s">
        <v>2297</v>
      </c>
      <c r="Q32" s="2832" t="s">
        <v>2406</v>
      </c>
      <c r="R32" s="2951" t="s">
        <v>2407</v>
      </c>
      <c r="S32" s="2821"/>
      <c r="T32" s="2821"/>
      <c r="U32" s="2821"/>
      <c r="V32" s="2928"/>
    </row>
    <row r="33" spans="1:23" s="2834" customFormat="1" ht="13.15" customHeight="1">
      <c r="A33" s="2910"/>
      <c r="B33" s="2911"/>
      <c r="C33" s="2912"/>
      <c r="D33" s="2952"/>
      <c r="E33" s="2953"/>
      <c r="F33" s="2915"/>
      <c r="G33" s="2821"/>
      <c r="H33" s="2936"/>
      <c r="I33" s="2928"/>
      <c r="J33" s="3836" t="s">
        <v>2408</v>
      </c>
      <c r="K33" s="3837"/>
      <c r="L33" s="2837"/>
      <c r="M33" s="2837"/>
      <c r="N33" s="2837"/>
      <c r="O33" s="2837"/>
      <c r="P33" s="2837"/>
      <c r="Q33" s="2838"/>
      <c r="R33" s="2954">
        <f>SUM(L33:Q33)</f>
        <v>0</v>
      </c>
      <c r="S33" s="2821"/>
      <c r="T33" s="2821"/>
      <c r="U33" s="2821"/>
      <c r="V33" s="2830"/>
    </row>
    <row r="34" spans="1:23" s="2834" customFormat="1" ht="13.15" customHeight="1">
      <c r="A34" s="2910">
        <v>5</v>
      </c>
      <c r="B34" s="2911" t="s">
        <v>2409</v>
      </c>
      <c r="C34" s="2955"/>
      <c r="D34" s="2956"/>
      <c r="E34" s="2957"/>
      <c r="F34" s="2915"/>
      <c r="G34" s="2821"/>
      <c r="H34" s="2936"/>
      <c r="I34" s="2928"/>
      <c r="J34" s="3836" t="s">
        <v>2410</v>
      </c>
      <c r="K34" s="3837"/>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2411</v>
      </c>
      <c r="C35" s="2959"/>
      <c r="D35" s="2960"/>
      <c r="E35" s="2961"/>
      <c r="F35" s="2915"/>
      <c r="G35" s="2962"/>
      <c r="H35" s="2829"/>
      <c r="I35" s="2928"/>
      <c r="J35" s="2848" t="s">
        <v>2412</v>
      </c>
      <c r="K35" s="2849"/>
      <c r="L35" s="2849"/>
      <c r="M35" s="2850"/>
      <c r="N35" s="2850"/>
      <c r="O35" s="2850"/>
      <c r="P35" s="2850"/>
      <c r="Q35" s="2850"/>
      <c r="R35" s="2963">
        <f>R40+R41+R43</f>
        <v>0</v>
      </c>
      <c r="S35" s="2821"/>
      <c r="T35" s="2821" t="s">
        <v>2413</v>
      </c>
      <c r="U35" s="2821"/>
      <c r="V35" s="2830"/>
    </row>
    <row r="36" spans="1:23" s="2834" customFormat="1" ht="13.15" customHeight="1" thickBot="1">
      <c r="A36" s="2910">
        <v>7</v>
      </c>
      <c r="B36" s="2964" t="s">
        <v>2414</v>
      </c>
      <c r="C36" s="2965"/>
      <c r="D36" s="2966"/>
      <c r="E36" s="2967"/>
      <c r="F36" s="2968">
        <f>C36+D36+E36</f>
        <v>0</v>
      </c>
      <c r="G36" s="2821"/>
      <c r="H36" s="2829"/>
      <c r="I36" s="2830"/>
      <c r="J36" s="3828">
        <v>1</v>
      </c>
      <c r="K36" s="3829" t="s">
        <v>2415</v>
      </c>
      <c r="L36" s="2855"/>
      <c r="M36" s="2856"/>
      <c r="N36" s="2856"/>
      <c r="O36" s="2856"/>
      <c r="P36" s="2856"/>
      <c r="Q36" s="2856"/>
      <c r="R36" s="2839" t="s">
        <v>2316</v>
      </c>
      <c r="S36" s="2821"/>
      <c r="T36" s="2821" t="s">
        <v>2317</v>
      </c>
      <c r="U36" s="2821"/>
      <c r="V36" s="2830"/>
    </row>
    <row r="37" spans="1:23" s="2834" customFormat="1" ht="13.15" customHeight="1">
      <c r="A37" s="2910"/>
      <c r="B37" s="2911"/>
      <c r="C37" s="2911"/>
      <c r="D37" s="2911"/>
      <c r="E37" s="2911"/>
      <c r="F37" s="2915"/>
      <c r="G37" s="2821"/>
      <c r="H37" s="2829"/>
      <c r="I37" s="2830"/>
      <c r="J37" s="3828"/>
      <c r="K37" s="3830"/>
      <c r="L37" s="2864"/>
      <c r="M37" s="2865"/>
      <c r="N37" s="2841"/>
      <c r="O37" s="2866"/>
      <c r="P37" s="2866"/>
      <c r="Q37" s="2867"/>
      <c r="R37" s="2868"/>
      <c r="S37" s="2821"/>
      <c r="T37" s="2821" t="s">
        <v>2320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28"/>
      <c r="K38" s="3830"/>
      <c r="L38" s="2864"/>
      <c r="M38" s="2865"/>
      <c r="N38" s="2841"/>
      <c r="O38" s="2866"/>
      <c r="P38" s="2866"/>
      <c r="Q38" s="2867"/>
      <c r="R38" s="2868"/>
      <c r="S38" s="2821"/>
      <c r="T38" s="2821" t="s">
        <v>2327</v>
      </c>
      <c r="U38" s="2821"/>
      <c r="V38" s="2830"/>
    </row>
    <row r="39" spans="1:23" s="2834" customFormat="1" ht="13.15" customHeight="1">
      <c r="A39" s="2910">
        <v>9</v>
      </c>
      <c r="B39" s="2911" t="s">
        <v>2416</v>
      </c>
      <c r="C39" s="2878" t="e">
        <f>C38</f>
        <v>#DIV/0!</v>
      </c>
      <c r="D39" s="2911">
        <f>D38/(1+D34)^C36</f>
        <v>0</v>
      </c>
      <c r="E39" s="2911">
        <f>E38/(1+E34)^(C36+D36)</f>
        <v>0</v>
      </c>
      <c r="F39" s="2915"/>
      <c r="G39" s="2830"/>
      <c r="H39" s="2829"/>
      <c r="I39" s="2830"/>
      <c r="J39" s="3828"/>
      <c r="K39" s="3830"/>
      <c r="L39" s="2864"/>
      <c r="M39" s="2865"/>
      <c r="N39" s="2841"/>
      <c r="O39" s="2866"/>
      <c r="P39" s="2866"/>
      <c r="Q39" s="2867"/>
      <c r="R39" s="2868"/>
      <c r="S39" s="2821"/>
      <c r="T39" s="2821"/>
      <c r="U39" s="2821"/>
      <c r="V39" s="2830"/>
    </row>
    <row r="40" spans="1:23" s="2834" customFormat="1" ht="13.15" customHeight="1">
      <c r="A40" s="2969">
        <v>10</v>
      </c>
      <c r="B40" s="2911" t="s">
        <v>2417</v>
      </c>
      <c r="C40" s="2970" t="e">
        <f>C39+D39+E39</f>
        <v>#DIV/0!</v>
      </c>
      <c r="D40" s="2971"/>
      <c r="E40" s="2971"/>
      <c r="F40" s="2972"/>
      <c r="G40" s="2821"/>
      <c r="H40" s="2829"/>
      <c r="I40" s="2830"/>
      <c r="J40" s="3828"/>
      <c r="K40" s="3831"/>
      <c r="L40" s="2884" t="s">
        <v>2418</v>
      </c>
      <c r="M40" s="2885"/>
      <c r="N40" s="2885"/>
      <c r="O40" s="2886"/>
      <c r="P40" s="2886"/>
      <c r="Q40" s="2887"/>
      <c r="R40" s="2833">
        <f>SUM(R37:R39)</f>
        <v>0</v>
      </c>
      <c r="S40" s="2821"/>
      <c r="T40" s="2821"/>
      <c r="U40" s="2821"/>
      <c r="V40" s="2830"/>
    </row>
    <row r="41" spans="1:23" s="2834" customFormat="1" ht="13.15" customHeight="1" thickBot="1">
      <c r="A41" s="2973">
        <v>11</v>
      </c>
      <c r="B41" s="2974" t="s">
        <v>2419</v>
      </c>
      <c r="C41" s="2974" t="e">
        <f>ROUND(C40*10000/B4,0)</f>
        <v>#DIV/0!</v>
      </c>
      <c r="D41" s="2975"/>
      <c r="E41" s="2975"/>
      <c r="F41" s="2976"/>
      <c r="G41" s="2829"/>
      <c r="H41" s="2829"/>
      <c r="I41" s="2830"/>
      <c r="J41" s="2923">
        <v>2</v>
      </c>
      <c r="K41" s="2924" t="s">
        <v>2420</v>
      </c>
      <c r="L41" s="2925"/>
      <c r="M41" s="2925"/>
      <c r="N41" s="2925"/>
      <c r="O41" s="2925"/>
      <c r="P41" s="2926"/>
      <c r="Q41" s="2927"/>
      <c r="R41" s="2900">
        <f>ROUND(R40*Q41,0)</f>
        <v>0</v>
      </c>
      <c r="S41" s="2821"/>
      <c r="T41" s="2821"/>
      <c r="U41" s="2873"/>
      <c r="V41" s="2830"/>
    </row>
    <row r="42" spans="1:23" s="2834" customFormat="1" ht="13.15" customHeight="1">
      <c r="G42" s="2829"/>
      <c r="H42" s="2829"/>
      <c r="I42" s="2830"/>
      <c r="J42" s="3832">
        <v>3</v>
      </c>
      <c r="K42" s="2930" t="s">
        <v>2421</v>
      </c>
      <c r="L42" s="2931"/>
      <c r="M42" s="2932"/>
      <c r="N42" s="2933" t="s">
        <v>2422</v>
      </c>
      <c r="O42" s="2933" t="s">
        <v>2423</v>
      </c>
      <c r="P42" s="2934" t="s">
        <v>2424</v>
      </c>
      <c r="Q42" s="2934" t="s">
        <v>2425</v>
      </c>
      <c r="R42" s="2839" t="s">
        <v>2426</v>
      </c>
      <c r="S42" s="2873"/>
      <c r="T42" s="2873"/>
      <c r="U42" s="2821"/>
      <c r="V42" s="2830"/>
    </row>
    <row r="43" spans="1:23" ht="13.15" customHeight="1">
      <c r="A43" s="2834"/>
      <c r="B43" s="2834"/>
      <c r="C43" s="2834"/>
      <c r="D43" s="2834"/>
      <c r="E43" s="2834"/>
      <c r="F43" s="2834"/>
      <c r="I43" s="2816"/>
      <c r="J43" s="3833"/>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2427</v>
      </c>
      <c r="L44" s="2979" t="s">
        <v>2428</v>
      </c>
      <c r="M44" s="2945"/>
      <c r="N44" s="2979" t="s">
        <v>2429</v>
      </c>
      <c r="O44" s="2945"/>
      <c r="P44" s="2979" t="s">
        <v>2430</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762</v>
      </c>
      <c r="D12" s="2766">
        <f>'数据-汇总表'!E5</f>
        <v>47623.45</v>
      </c>
      <c r="E12" s="2766">
        <f>'数据-取费表'!B27</f>
        <v>160</v>
      </c>
      <c r="F12" s="690"/>
      <c r="G12" s="693"/>
    </row>
    <row r="13" spans="1:25" s="1781" customFormat="1" ht="13.5" customHeight="1">
      <c r="A13" s="1985" t="s">
        <v>1793</v>
      </c>
      <c r="B13" s="691" t="s">
        <v>560</v>
      </c>
      <c r="C13" s="692">
        <f>ROUND(D13*E13/10000,0)</f>
        <v>500</v>
      </c>
      <c r="D13" s="2766">
        <f>'数据-汇总表'!E6</f>
        <v>24994.652000000002</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0.92100000000000004</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6"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36" t="s">
        <v>471</v>
      </c>
      <c r="D4" s="3737"/>
      <c r="E4" s="3763" t="s">
        <v>472</v>
      </c>
      <c r="F4" s="3764"/>
      <c r="G4" s="3736" t="s">
        <v>473</v>
      </c>
      <c r="H4" s="3737"/>
      <c r="I4" s="3736" t="s">
        <v>474</v>
      </c>
      <c r="J4" s="3737"/>
      <c r="K4" s="464" t="s">
        <v>475</v>
      </c>
      <c r="L4" s="1739"/>
      <c r="M4" s="1740"/>
      <c r="N4" s="1740"/>
      <c r="O4" s="1740"/>
      <c r="P4" s="3738" t="s">
        <v>476</v>
      </c>
      <c r="Q4" s="3739"/>
      <c r="R4" s="3722" t="s">
        <v>472</v>
      </c>
      <c r="S4" s="3723"/>
      <c r="T4" s="3722" t="s">
        <v>473</v>
      </c>
      <c r="U4" s="3723"/>
      <c r="V4" s="3744" t="s">
        <v>474</v>
      </c>
      <c r="W4" s="3744"/>
      <c r="X4" s="1300"/>
      <c r="Y4" s="3722" t="s">
        <v>476</v>
      </c>
      <c r="Z4" s="3723"/>
      <c r="AA4" s="3717" t="s">
        <v>472</v>
      </c>
      <c r="AB4" s="3744" t="s">
        <v>473</v>
      </c>
      <c r="AC4" s="3717" t="s">
        <v>474</v>
      </c>
    </row>
    <row r="5" spans="1:29" ht="15">
      <c r="A5" s="465"/>
      <c r="B5" s="466"/>
      <c r="C5" s="3747" t="s">
        <v>2183</v>
      </c>
      <c r="D5" s="3748"/>
      <c r="E5" s="3765" t="s">
        <v>2184</v>
      </c>
      <c r="F5" s="3766"/>
      <c r="G5" s="3747" t="s">
        <v>2185</v>
      </c>
      <c r="H5" s="3748"/>
      <c r="I5" s="3747" t="s">
        <v>2186</v>
      </c>
      <c r="J5" s="3748"/>
      <c r="K5" s="464"/>
      <c r="L5" s="1739"/>
      <c r="M5" s="1740"/>
      <c r="N5" s="1740"/>
      <c r="O5" s="1740"/>
      <c r="P5" s="3740"/>
      <c r="Q5" s="3741"/>
      <c r="R5" s="3724"/>
      <c r="S5" s="3725"/>
      <c r="T5" s="3724"/>
      <c r="U5" s="3725"/>
      <c r="V5" s="3744"/>
      <c r="W5" s="3744"/>
      <c r="X5" s="1300"/>
      <c r="Y5" s="3724"/>
      <c r="Z5" s="3725"/>
      <c r="AA5" s="3718"/>
      <c r="AB5" s="3744"/>
      <c r="AC5" s="3718"/>
    </row>
    <row r="6" spans="1:29" ht="15.75" thickBot="1">
      <c r="A6" s="467"/>
      <c r="B6" s="468"/>
      <c r="C6" s="3745" t="s">
        <v>2187</v>
      </c>
      <c r="D6" s="3746"/>
      <c r="E6" s="3767" t="s">
        <v>2187</v>
      </c>
      <c r="F6" s="3768"/>
      <c r="G6" s="3745" t="s">
        <v>2187</v>
      </c>
      <c r="H6" s="3746"/>
      <c r="I6" s="3745" t="s">
        <v>2187</v>
      </c>
      <c r="J6" s="3746"/>
      <c r="K6" s="464" t="s">
        <v>477</v>
      </c>
      <c r="L6" s="1739"/>
      <c r="M6" s="1740"/>
      <c r="N6" s="1740"/>
      <c r="O6" s="1740"/>
      <c r="P6" s="3742"/>
      <c r="Q6" s="3743"/>
      <c r="R6" s="3724"/>
      <c r="S6" s="3725"/>
      <c r="T6" s="3726"/>
      <c r="U6" s="3727"/>
      <c r="V6" s="3744"/>
      <c r="W6" s="3744"/>
      <c r="X6" s="1300"/>
      <c r="Y6" s="3726"/>
      <c r="Z6" s="3727"/>
      <c r="AA6" s="3719"/>
      <c r="AB6" s="3744"/>
      <c r="AC6" s="3719"/>
    </row>
    <row r="7" spans="1:29" s="1057" customFormat="1" ht="15.75" thickBot="1">
      <c r="A7" s="2207"/>
      <c r="B7" s="2214"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20" t="s">
        <v>479</v>
      </c>
      <c r="Q7" s="3729"/>
      <c r="R7" s="1301" t="s">
        <v>5</v>
      </c>
      <c r="S7" s="1302">
        <f t="shared" ref="S7:S15" si="0">F7</f>
        <v>0</v>
      </c>
      <c r="T7" s="1301" t="s">
        <v>5</v>
      </c>
      <c r="U7" s="1302">
        <f t="shared" ref="U7:U15" si="1">H7</f>
        <v>0</v>
      </c>
      <c r="V7" s="1301" t="s">
        <v>5</v>
      </c>
      <c r="W7" s="1302">
        <f t="shared" ref="W7:W15" si="2">J7</f>
        <v>0</v>
      </c>
      <c r="X7" s="1303"/>
      <c r="Y7" s="3720" t="s">
        <v>479</v>
      </c>
      <c r="Z7" s="3721"/>
      <c r="AA7" s="994" t="e">
        <f>D7/F7</f>
        <v>#DIV/0!</v>
      </c>
      <c r="AB7" s="994" t="e">
        <f>D7/H7</f>
        <v>#DIV/0!</v>
      </c>
      <c r="AC7" s="994" t="e">
        <f>D7/J7</f>
        <v>#DIV/0!</v>
      </c>
    </row>
    <row r="8" spans="1:29" s="1057"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20" t="s">
        <v>482</v>
      </c>
      <c r="Q8" s="3721"/>
      <c r="R8" s="1301" t="s">
        <v>5</v>
      </c>
      <c r="S8" s="1302">
        <f t="shared" si="0"/>
        <v>0</v>
      </c>
      <c r="T8" s="1301" t="s">
        <v>5</v>
      </c>
      <c r="U8" s="1302">
        <f t="shared" si="1"/>
        <v>0</v>
      </c>
      <c r="V8" s="1301" t="s">
        <v>5</v>
      </c>
      <c r="W8" s="1302">
        <f t="shared" si="2"/>
        <v>0</v>
      </c>
      <c r="X8" s="1303"/>
      <c r="Y8" s="3720" t="s">
        <v>482</v>
      </c>
      <c r="Z8" s="3721"/>
      <c r="AA8" s="994" t="e">
        <f t="shared" ref="AA8:AA46" si="3">D8/F8</f>
        <v>#DIV/0!</v>
      </c>
      <c r="AB8" s="994" t="e">
        <f t="shared" ref="AB8:AB46" si="4">D8/H8</f>
        <v>#DIV/0!</v>
      </c>
      <c r="AC8" s="994" t="e">
        <f t="shared" ref="AC8:AC46" si="5">D8/J8</f>
        <v>#DIV/0!</v>
      </c>
    </row>
    <row r="9" spans="1:29" s="1057" customFormat="1" ht="15">
      <c r="A9" s="2209"/>
      <c r="B9" s="2216"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28"/>
      <c r="Q11" s="815" t="str">
        <f t="shared" si="6"/>
        <v>容积率</v>
      </c>
      <c r="R11" s="1301" t="s">
        <v>5</v>
      </c>
      <c r="S11" s="1302" t="e">
        <f t="shared" si="0"/>
        <v>#N/A</v>
      </c>
      <c r="T11" s="1301" t="s">
        <v>5</v>
      </c>
      <c r="U11" s="1302" t="e">
        <f t="shared" si="1"/>
        <v>#N/A</v>
      </c>
      <c r="V11" s="1301" t="s">
        <v>5</v>
      </c>
      <c r="W11" s="1302" t="e">
        <f t="shared" si="2"/>
        <v>#N/A</v>
      </c>
      <c r="X11" s="1303"/>
      <c r="Y11" s="3680"/>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 t="shared" si="3"/>
        <v>1</v>
      </c>
      <c r="AB14" s="994">
        <f t="shared" si="4"/>
        <v>1</v>
      </c>
      <c r="AC14" s="994">
        <f t="shared" si="5"/>
        <v>1</v>
      </c>
    </row>
    <row r="15" spans="1:29" ht="71.25">
      <c r="A15" s="2205"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30" t="s">
        <v>489</v>
      </c>
      <c r="Q15" s="1304" t="str">
        <f t="shared" si="6"/>
        <v>商业繁华度</v>
      </c>
      <c r="R15" s="1305" t="s">
        <v>5</v>
      </c>
      <c r="S15" s="1306">
        <f t="shared" si="0"/>
        <v>100</v>
      </c>
      <c r="T15" s="1305" t="s">
        <v>5</v>
      </c>
      <c r="U15" s="1306">
        <f t="shared" si="1"/>
        <v>100</v>
      </c>
      <c r="V15" s="1305" t="s">
        <v>5</v>
      </c>
      <c r="W15" s="1306">
        <f t="shared" si="2"/>
        <v>100</v>
      </c>
      <c r="X15" s="1300"/>
      <c r="Y15" s="3730"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31"/>
      <c r="Q16" s="1304"/>
      <c r="R16" s="1305"/>
      <c r="S16" s="1306"/>
      <c r="T16" s="1305"/>
      <c r="U16" s="1306"/>
      <c r="V16" s="1305"/>
      <c r="W16" s="1306"/>
      <c r="X16" s="1300"/>
      <c r="Y16" s="3731"/>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31"/>
      <c r="Q17" s="1304" t="str">
        <f>B17</f>
        <v>交通便捷度</v>
      </c>
      <c r="R17" s="1305" t="s">
        <v>5</v>
      </c>
      <c r="S17" s="1306">
        <f>F17</f>
        <v>100</v>
      </c>
      <c r="T17" s="1305" t="s">
        <v>5</v>
      </c>
      <c r="U17" s="1306">
        <f>H17</f>
        <v>100</v>
      </c>
      <c r="V17" s="1305" t="s">
        <v>5</v>
      </c>
      <c r="W17" s="1306">
        <f>J17</f>
        <v>100</v>
      </c>
      <c r="X17" s="1300"/>
      <c r="Y17" s="3731"/>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31"/>
      <c r="Q18" s="1304"/>
      <c r="R18" s="1305"/>
      <c r="S18" s="1306"/>
      <c r="T18" s="1305"/>
      <c r="U18" s="1306"/>
      <c r="V18" s="1305"/>
      <c r="W18" s="1306"/>
      <c r="X18" s="1300"/>
      <c r="Y18" s="3731"/>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31"/>
      <c r="Q19" s="1304" t="str">
        <f>B19</f>
        <v>公共配套设施</v>
      </c>
      <c r="R19" s="1305" t="s">
        <v>5</v>
      </c>
      <c r="S19" s="1306">
        <f>F19</f>
        <v>100</v>
      </c>
      <c r="T19" s="1305" t="s">
        <v>5</v>
      </c>
      <c r="U19" s="1306">
        <f>H19</f>
        <v>100</v>
      </c>
      <c r="V19" s="1305" t="s">
        <v>5</v>
      </c>
      <c r="W19" s="1306">
        <f>J19</f>
        <v>100</v>
      </c>
      <c r="X19" s="1300"/>
      <c r="Y19" s="3731"/>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31"/>
      <c r="Q21" s="1304" t="str">
        <f>B21</f>
        <v>基础设施水平</v>
      </c>
      <c r="R21" s="1305" t="s">
        <v>5</v>
      </c>
      <c r="S21" s="1306">
        <f>F21</f>
        <v>100</v>
      </c>
      <c r="T21" s="1305" t="s">
        <v>5</v>
      </c>
      <c r="U21" s="1306">
        <f>H21</f>
        <v>100</v>
      </c>
      <c r="V21" s="1305" t="s">
        <v>5</v>
      </c>
      <c r="W21" s="1306">
        <f>J21</f>
        <v>100</v>
      </c>
      <c r="X21" s="1300"/>
      <c r="Y21" s="3731"/>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31"/>
      <c r="Q22" s="1304"/>
      <c r="R22" s="1305"/>
      <c r="S22" s="1306"/>
      <c r="T22" s="1305"/>
      <c r="U22" s="1306"/>
      <c r="V22" s="1305"/>
      <c r="W22" s="1306"/>
      <c r="X22" s="1300"/>
      <c r="Y22" s="3731"/>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31"/>
      <c r="Q23" s="1304" t="str">
        <f>B23</f>
        <v>自然及人文环境</v>
      </c>
      <c r="R23" s="1305" t="s">
        <v>5</v>
      </c>
      <c r="S23" s="1306">
        <f>F23</f>
        <v>100</v>
      </c>
      <c r="T23" s="1305" t="s">
        <v>5</v>
      </c>
      <c r="U23" s="1306">
        <f>H23</f>
        <v>100</v>
      </c>
      <c r="V23" s="1305" t="s">
        <v>5</v>
      </c>
      <c r="W23" s="1306">
        <f>J23</f>
        <v>100</v>
      </c>
      <c r="X23" s="1300"/>
      <c r="Y23" s="3731"/>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31"/>
      <c r="Q24" s="1304"/>
      <c r="R24" s="1305"/>
      <c r="S24" s="1306"/>
      <c r="T24" s="1305"/>
      <c r="U24" s="1306"/>
      <c r="V24" s="1305"/>
      <c r="W24" s="1306"/>
      <c r="X24" s="1300"/>
      <c r="Y24" s="3731"/>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31"/>
      <c r="Q25" s="1304" t="str">
        <f t="shared" ref="Q25:Q46" si="8">B25</f>
        <v>临街状况</v>
      </c>
      <c r="R25" s="1305" t="s">
        <v>5</v>
      </c>
      <c r="S25" s="1306">
        <f>F25</f>
        <v>100</v>
      </c>
      <c r="T25" s="1305" t="s">
        <v>5</v>
      </c>
      <c r="U25" s="1306">
        <f>H25</f>
        <v>100</v>
      </c>
      <c r="V25" s="1305" t="s">
        <v>5</v>
      </c>
      <c r="W25" s="1306">
        <f>J25</f>
        <v>100</v>
      </c>
      <c r="X25" s="1300"/>
      <c r="Y25" s="3731"/>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31"/>
      <c r="Q26" s="1304" t="str">
        <f t="shared" si="8"/>
        <v>平面位置/可视性</v>
      </c>
      <c r="R26" s="1305" t="s">
        <v>5</v>
      </c>
      <c r="S26" s="1306">
        <f>F26</f>
        <v>100</v>
      </c>
      <c r="T26" s="1305" t="s">
        <v>5</v>
      </c>
      <c r="U26" s="1306">
        <f>H26</f>
        <v>100</v>
      </c>
      <c r="V26" s="1305" t="s">
        <v>5</v>
      </c>
      <c r="W26" s="1306">
        <f>J26</f>
        <v>100</v>
      </c>
      <c r="X26" s="1300"/>
      <c r="Y26" s="3731"/>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31"/>
      <c r="Q27" s="815" t="str">
        <f t="shared" si="8"/>
        <v>人流量</v>
      </c>
      <c r="R27" s="1301" t="s">
        <v>5</v>
      </c>
      <c r="S27" s="1302">
        <f>F27</f>
        <v>100</v>
      </c>
      <c r="T27" s="1301" t="s">
        <v>5</v>
      </c>
      <c r="U27" s="1302">
        <f>H27</f>
        <v>100</v>
      </c>
      <c r="V27" s="1301" t="s">
        <v>5</v>
      </c>
      <c r="W27" s="1302">
        <f>J27</f>
        <v>100</v>
      </c>
      <c r="X27" s="1303"/>
      <c r="Y27" s="3731"/>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31"/>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31"/>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31"/>
      <c r="Q29" s="1304">
        <f t="shared" si="8"/>
        <v>111</v>
      </c>
      <c r="R29" s="1305" t="s">
        <v>5</v>
      </c>
      <c r="S29" s="1306">
        <f t="shared" si="9"/>
        <v>100</v>
      </c>
      <c r="T29" s="1305" t="s">
        <v>5</v>
      </c>
      <c r="U29" s="1306">
        <f t="shared" si="10"/>
        <v>100</v>
      </c>
      <c r="V29" s="1305" t="s">
        <v>5</v>
      </c>
      <c r="W29" s="1306">
        <f t="shared" si="11"/>
        <v>100</v>
      </c>
      <c r="X29" s="1300"/>
      <c r="Y29" s="3731"/>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31"/>
      <c r="Q30" s="1304">
        <f t="shared" si="8"/>
        <v>111</v>
      </c>
      <c r="R30" s="1305" t="s">
        <v>5</v>
      </c>
      <c r="S30" s="1306">
        <f t="shared" si="9"/>
        <v>100</v>
      </c>
      <c r="T30" s="1305" t="s">
        <v>5</v>
      </c>
      <c r="U30" s="1306">
        <f t="shared" si="10"/>
        <v>100</v>
      </c>
      <c r="V30" s="1305" t="s">
        <v>5</v>
      </c>
      <c r="W30" s="1306">
        <f t="shared" si="11"/>
        <v>100</v>
      </c>
      <c r="X30" s="1300"/>
      <c r="Y30" s="3731"/>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31"/>
      <c r="Q31" s="1304">
        <f t="shared" si="8"/>
        <v>111</v>
      </c>
      <c r="R31" s="1305" t="s">
        <v>5</v>
      </c>
      <c r="S31" s="1306">
        <f t="shared" si="9"/>
        <v>100</v>
      </c>
      <c r="T31" s="1305" t="s">
        <v>5</v>
      </c>
      <c r="U31" s="1306">
        <f t="shared" si="10"/>
        <v>100</v>
      </c>
      <c r="V31" s="1305" t="s">
        <v>5</v>
      </c>
      <c r="W31" s="1306">
        <f t="shared" si="11"/>
        <v>100</v>
      </c>
      <c r="X31" s="1300"/>
      <c r="Y31" s="3731"/>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32" t="s">
        <v>499</v>
      </c>
      <c r="Q32" s="1304" t="str">
        <f t="shared" si="8"/>
        <v>商业类型</v>
      </c>
      <c r="R32" s="1305" t="s">
        <v>5</v>
      </c>
      <c r="S32" s="1306">
        <f t="shared" si="9"/>
        <v>100</v>
      </c>
      <c r="T32" s="1305" t="s">
        <v>5</v>
      </c>
      <c r="U32" s="1306">
        <f t="shared" si="10"/>
        <v>100</v>
      </c>
      <c r="V32" s="1305" t="s">
        <v>5</v>
      </c>
      <c r="W32" s="1306">
        <f t="shared" si="11"/>
        <v>100</v>
      </c>
      <c r="X32" s="1300"/>
      <c r="Y32" s="3733"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33"/>
      <c r="Q33" s="816" t="str">
        <f t="shared" si="8"/>
        <v>项目建筑规模</v>
      </c>
      <c r="R33" s="1308" t="s">
        <v>5</v>
      </c>
      <c r="S33" s="1309" t="e">
        <f t="shared" si="9"/>
        <v>#N/A</v>
      </c>
      <c r="T33" s="1308" t="s">
        <v>5</v>
      </c>
      <c r="U33" s="1309" t="e">
        <f t="shared" si="10"/>
        <v>#N/A</v>
      </c>
      <c r="V33" s="1308" t="s">
        <v>5</v>
      </c>
      <c r="W33" s="1309" t="e">
        <f t="shared" si="11"/>
        <v>#N/A</v>
      </c>
      <c r="X33" s="1310"/>
      <c r="Y33" s="3733"/>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33"/>
      <c r="Q34" s="1304" t="str">
        <f t="shared" si="8"/>
        <v>建筑结构</v>
      </c>
      <c r="R34" s="1305" t="s">
        <v>5</v>
      </c>
      <c r="S34" s="1306">
        <f t="shared" si="9"/>
        <v>100</v>
      </c>
      <c r="T34" s="1305" t="s">
        <v>5</v>
      </c>
      <c r="U34" s="1306">
        <f t="shared" si="10"/>
        <v>100</v>
      </c>
      <c r="V34" s="1305" t="s">
        <v>5</v>
      </c>
      <c r="W34" s="1306">
        <f t="shared" si="11"/>
        <v>100</v>
      </c>
      <c r="X34" s="1300"/>
      <c r="Y34" s="3733"/>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33"/>
      <c r="Q35" s="1304" t="str">
        <f t="shared" si="8"/>
        <v>公共部分装修</v>
      </c>
      <c r="R35" s="1305" t="s">
        <v>5</v>
      </c>
      <c r="S35" s="1306">
        <f t="shared" si="9"/>
        <v>100</v>
      </c>
      <c r="T35" s="1305" t="s">
        <v>5</v>
      </c>
      <c r="U35" s="1306">
        <f t="shared" si="10"/>
        <v>100</v>
      </c>
      <c r="V35" s="1305" t="s">
        <v>5</v>
      </c>
      <c r="W35" s="1306">
        <f t="shared" si="11"/>
        <v>100</v>
      </c>
      <c r="X35" s="1300"/>
      <c r="Y35" s="3733"/>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33"/>
      <c r="Q36" s="1304" t="str">
        <f t="shared" si="8"/>
        <v>成新度</v>
      </c>
      <c r="R36" s="1305" t="s">
        <v>5</v>
      </c>
      <c r="S36" s="1306" t="e">
        <f t="shared" si="9"/>
        <v>#N/A</v>
      </c>
      <c r="T36" s="1305" t="s">
        <v>5</v>
      </c>
      <c r="U36" s="1306" t="e">
        <f t="shared" si="10"/>
        <v>#N/A</v>
      </c>
      <c r="V36" s="1305" t="s">
        <v>5</v>
      </c>
      <c r="W36" s="1306" t="e">
        <f t="shared" si="11"/>
        <v>#N/A</v>
      </c>
      <c r="X36" s="1300"/>
      <c r="Y36" s="3733"/>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33"/>
      <c r="Q37" s="815" t="str">
        <f t="shared" si="8"/>
        <v>市政基础设施</v>
      </c>
      <c r="R37" s="1301" t="s">
        <v>5</v>
      </c>
      <c r="S37" s="1302">
        <f t="shared" si="9"/>
        <v>100</v>
      </c>
      <c r="T37" s="1301" t="s">
        <v>5</v>
      </c>
      <c r="U37" s="1302">
        <f t="shared" si="10"/>
        <v>100</v>
      </c>
      <c r="V37" s="1301" t="s">
        <v>5</v>
      </c>
      <c r="W37" s="1302">
        <f t="shared" si="11"/>
        <v>100</v>
      </c>
      <c r="X37" s="1303"/>
      <c r="Y37" s="3733"/>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33" t="s">
        <v>706</v>
      </c>
      <c r="Q38" s="1304" t="str">
        <f t="shared" si="8"/>
        <v>业态</v>
      </c>
      <c r="R38" s="1305" t="s">
        <v>5</v>
      </c>
      <c r="S38" s="1306">
        <f t="shared" si="9"/>
        <v>100</v>
      </c>
      <c r="T38" s="1305" t="s">
        <v>5</v>
      </c>
      <c r="U38" s="1306">
        <f t="shared" si="10"/>
        <v>100</v>
      </c>
      <c r="V38" s="1305" t="s">
        <v>5</v>
      </c>
      <c r="W38" s="1306">
        <f t="shared" si="11"/>
        <v>100</v>
      </c>
      <c r="X38" s="1300"/>
      <c r="Y38" s="3733"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33"/>
      <c r="Q39" s="1304" t="str">
        <f t="shared" si="8"/>
        <v>层高</v>
      </c>
      <c r="R39" s="1305" t="s">
        <v>5</v>
      </c>
      <c r="S39" s="1306">
        <f t="shared" si="9"/>
        <v>100</v>
      </c>
      <c r="T39" s="1305" t="s">
        <v>5</v>
      </c>
      <c r="U39" s="1306">
        <f t="shared" si="10"/>
        <v>100</v>
      </c>
      <c r="V39" s="1305" t="s">
        <v>5</v>
      </c>
      <c r="W39" s="1306">
        <f t="shared" si="11"/>
        <v>100</v>
      </c>
      <c r="X39" s="1300"/>
      <c r="Y39" s="3733"/>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33"/>
      <c r="Q40" s="1304" t="str">
        <f t="shared" si="8"/>
        <v>单套建筑面积</v>
      </c>
      <c r="R40" s="1305" t="s">
        <v>5</v>
      </c>
      <c r="S40" s="1306">
        <f t="shared" si="9"/>
        <v>100</v>
      </c>
      <c r="T40" s="1305" t="s">
        <v>5</v>
      </c>
      <c r="U40" s="1306">
        <f t="shared" si="10"/>
        <v>100</v>
      </c>
      <c r="V40" s="1305" t="s">
        <v>5</v>
      </c>
      <c r="W40" s="1306">
        <f t="shared" si="11"/>
        <v>100</v>
      </c>
      <c r="X40" s="1300"/>
      <c r="Y40" s="3733"/>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33"/>
      <c r="Q41" s="816" t="str">
        <f t="shared" si="8"/>
        <v>进深比</v>
      </c>
      <c r="R41" s="1308" t="s">
        <v>5</v>
      </c>
      <c r="S41" s="1309">
        <f t="shared" si="9"/>
        <v>100</v>
      </c>
      <c r="T41" s="1308" t="s">
        <v>5</v>
      </c>
      <c r="U41" s="1309">
        <f t="shared" si="10"/>
        <v>100</v>
      </c>
      <c r="V41" s="1308" t="s">
        <v>5</v>
      </c>
      <c r="W41" s="1309">
        <f t="shared" si="11"/>
        <v>100</v>
      </c>
      <c r="X41" s="1310"/>
      <c r="Y41" s="3733"/>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33"/>
      <c r="Q42" s="1304" t="str">
        <f t="shared" si="8"/>
        <v>内部装修</v>
      </c>
      <c r="R42" s="1305" t="s">
        <v>5</v>
      </c>
      <c r="S42" s="1306">
        <f t="shared" si="9"/>
        <v>100</v>
      </c>
      <c r="T42" s="1305" t="s">
        <v>5</v>
      </c>
      <c r="U42" s="1306">
        <f t="shared" si="10"/>
        <v>100</v>
      </c>
      <c r="V42" s="1305" t="s">
        <v>5</v>
      </c>
      <c r="W42" s="1306">
        <f t="shared" si="11"/>
        <v>100</v>
      </c>
      <c r="X42" s="1300"/>
      <c r="Y42" s="3733"/>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33"/>
      <c r="Q43" s="1304" t="str">
        <f t="shared" si="8"/>
        <v>内部装修维护情况</v>
      </c>
      <c r="R43" s="1305" t="s">
        <v>5</v>
      </c>
      <c r="S43" s="1306">
        <f t="shared" si="9"/>
        <v>100</v>
      </c>
      <c r="T43" s="1305" t="s">
        <v>5</v>
      </c>
      <c r="U43" s="1306">
        <f t="shared" si="10"/>
        <v>100</v>
      </c>
      <c r="V43" s="1305" t="s">
        <v>5</v>
      </c>
      <c r="W43" s="1306">
        <f t="shared" si="11"/>
        <v>100</v>
      </c>
      <c r="X43" s="1300"/>
      <c r="Y43" s="3733"/>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33"/>
      <c r="Q44" s="815">
        <f t="shared" si="8"/>
        <v>111</v>
      </c>
      <c r="R44" s="1301" t="s">
        <v>5</v>
      </c>
      <c r="S44" s="1302">
        <f t="shared" si="9"/>
        <v>100</v>
      </c>
      <c r="T44" s="1301" t="s">
        <v>5</v>
      </c>
      <c r="U44" s="1302">
        <f t="shared" si="10"/>
        <v>100</v>
      </c>
      <c r="V44" s="1301" t="s">
        <v>5</v>
      </c>
      <c r="W44" s="1302">
        <f t="shared" si="11"/>
        <v>100</v>
      </c>
      <c r="X44" s="1303"/>
      <c r="Y44" s="3733"/>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33"/>
      <c r="Q45" s="1304">
        <f t="shared" si="8"/>
        <v>111</v>
      </c>
      <c r="R45" s="1305" t="s">
        <v>5</v>
      </c>
      <c r="S45" s="1306">
        <f t="shared" si="9"/>
        <v>100</v>
      </c>
      <c r="T45" s="1305" t="s">
        <v>5</v>
      </c>
      <c r="U45" s="1306">
        <f t="shared" si="10"/>
        <v>100</v>
      </c>
      <c r="V45" s="1305" t="s">
        <v>5</v>
      </c>
      <c r="W45" s="1306">
        <f t="shared" si="11"/>
        <v>100</v>
      </c>
      <c r="X45" s="1300"/>
      <c r="Y45" s="3733"/>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18"/>
      <c r="Q46" s="1304">
        <f t="shared" si="8"/>
        <v>111</v>
      </c>
      <c r="R46" s="1305" t="s">
        <v>5</v>
      </c>
      <c r="S46" s="1306">
        <f t="shared" si="9"/>
        <v>100</v>
      </c>
      <c r="T46" s="1305" t="s">
        <v>5</v>
      </c>
      <c r="U46" s="1306">
        <f t="shared" si="10"/>
        <v>100</v>
      </c>
      <c r="V46" s="1305" t="s">
        <v>5</v>
      </c>
      <c r="W46" s="1306">
        <f t="shared" si="11"/>
        <v>100</v>
      </c>
      <c r="X46" s="1300"/>
      <c r="Y46" s="3818"/>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28" t="str">
        <f>A47</f>
        <v>成交单价（元/平方米）</v>
      </c>
      <c r="Q47" s="3728"/>
      <c r="R47" s="3744">
        <f>E47</f>
        <v>0</v>
      </c>
      <c r="S47" s="3744"/>
      <c r="T47" s="3744">
        <f>G47</f>
        <v>0</v>
      </c>
      <c r="U47" s="3744"/>
      <c r="V47" s="3744">
        <f>I47</f>
        <v>0</v>
      </c>
      <c r="W47" s="3744"/>
      <c r="X47" s="798"/>
      <c r="Y47" s="1312"/>
      <c r="Z47" s="798"/>
      <c r="AA47" s="798"/>
      <c r="AB47" s="798"/>
      <c r="AC47" s="798"/>
    </row>
    <row r="48" spans="1:29" ht="15.75" thickBot="1">
      <c r="A48" s="563" t="s">
        <v>2042</v>
      </c>
      <c r="B48" s="810"/>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728" t="str">
        <f>A48</f>
        <v>比较价格（元/平方米）</v>
      </c>
      <c r="Q48" s="3728"/>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798"/>
      <c r="Y48" s="798"/>
      <c r="Z48" s="798"/>
      <c r="AA48" s="798"/>
      <c r="AB48" s="798"/>
      <c r="AC48" s="798"/>
    </row>
    <row r="49" spans="1:29" ht="15.75" thickBot="1">
      <c r="A49" s="567" t="s">
        <v>2189</v>
      </c>
      <c r="B49" s="568"/>
      <c r="C49" s="468" t="e">
        <f>R49</f>
        <v>#DIV/0!</v>
      </c>
      <c r="D49" s="468"/>
      <c r="E49" s="468"/>
      <c r="F49" s="468"/>
      <c r="G49" s="468"/>
      <c r="H49" s="468"/>
      <c r="I49" s="468"/>
      <c r="J49" s="468"/>
      <c r="K49" s="1334"/>
      <c r="L49" s="1749"/>
      <c r="M49" s="1740"/>
      <c r="N49" s="1740"/>
      <c r="O49" s="1740"/>
      <c r="P49" s="3734" t="str">
        <f>A49</f>
        <v>估价对象XX用房的比较价格（楼面单价，元/平方米）</v>
      </c>
      <c r="Q49" s="3735"/>
      <c r="R49" s="3817" t="e">
        <f>IF(F1="售价",ROUND(IF(D48="简单平均",AVERAGE(R48:V48),R48*F48+T48*H48+V48*J48),0),ROUND(IF(D48="简单平均",AVERAGE(R48:V48),R48*F48+T48*H48+V48*J48),1))</f>
        <v>#DIV/0!</v>
      </c>
      <c r="S49" s="3817"/>
      <c r="T49" s="3817"/>
      <c r="U49" s="3817"/>
      <c r="V49" s="3817"/>
      <c r="W49" s="3817"/>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36" t="s">
        <v>471</v>
      </c>
      <c r="D4" s="3737"/>
      <c r="E4" s="3763" t="s">
        <v>472</v>
      </c>
      <c r="F4" s="3764"/>
      <c r="G4" s="3736" t="s">
        <v>473</v>
      </c>
      <c r="H4" s="3737"/>
      <c r="I4" s="3736" t="s">
        <v>474</v>
      </c>
      <c r="J4" s="3737"/>
      <c r="K4" s="464" t="s">
        <v>475</v>
      </c>
      <c r="L4" s="1739"/>
      <c r="M4" s="1740"/>
      <c r="N4" s="1740"/>
      <c r="O4" s="1740"/>
      <c r="P4" s="3847" t="s">
        <v>476</v>
      </c>
      <c r="Q4" s="3739"/>
      <c r="R4" s="3722" t="s">
        <v>472</v>
      </c>
      <c r="S4" s="3723"/>
      <c r="T4" s="3722" t="s">
        <v>473</v>
      </c>
      <c r="U4" s="3723"/>
      <c r="V4" s="3744" t="s">
        <v>474</v>
      </c>
      <c r="W4" s="3744"/>
      <c r="X4" s="1300"/>
      <c r="Y4" s="3722" t="s">
        <v>476</v>
      </c>
      <c r="Z4" s="3723"/>
      <c r="AA4" s="3717" t="s">
        <v>472</v>
      </c>
      <c r="AB4" s="3717" t="s">
        <v>473</v>
      </c>
      <c r="AC4" s="3717" t="s">
        <v>474</v>
      </c>
    </row>
    <row r="5" spans="1:29" ht="15">
      <c r="A5" s="465"/>
      <c r="B5" s="466"/>
      <c r="C5" s="3747" t="s">
        <v>2183</v>
      </c>
      <c r="D5" s="3748"/>
      <c r="E5" s="3765" t="s">
        <v>2184</v>
      </c>
      <c r="F5" s="3766"/>
      <c r="G5" s="3747" t="s">
        <v>2185</v>
      </c>
      <c r="H5" s="3748"/>
      <c r="I5" s="3747" t="s">
        <v>2186</v>
      </c>
      <c r="J5" s="3748"/>
      <c r="K5" s="464"/>
      <c r="L5" s="1739"/>
      <c r="M5" s="1740"/>
      <c r="N5" s="1740"/>
      <c r="O5" s="1740"/>
      <c r="P5" s="3848"/>
      <c r="Q5" s="3741"/>
      <c r="R5" s="3724"/>
      <c r="S5" s="3725"/>
      <c r="T5" s="3724"/>
      <c r="U5" s="3725"/>
      <c r="V5" s="3744"/>
      <c r="W5" s="3744"/>
      <c r="X5" s="1300"/>
      <c r="Y5" s="3724"/>
      <c r="Z5" s="3725"/>
      <c r="AA5" s="3718"/>
      <c r="AB5" s="3718"/>
      <c r="AC5" s="3718"/>
    </row>
    <row r="6" spans="1:29" ht="15.75" thickBot="1">
      <c r="A6" s="467"/>
      <c r="B6" s="468"/>
      <c r="C6" s="3745" t="s">
        <v>2187</v>
      </c>
      <c r="D6" s="3746"/>
      <c r="E6" s="3767" t="s">
        <v>2187</v>
      </c>
      <c r="F6" s="3768"/>
      <c r="G6" s="3745" t="s">
        <v>2187</v>
      </c>
      <c r="H6" s="3746"/>
      <c r="I6" s="3745" t="s">
        <v>2187</v>
      </c>
      <c r="J6" s="3746"/>
      <c r="K6" s="464" t="s">
        <v>477</v>
      </c>
      <c r="L6" s="1739"/>
      <c r="M6" s="1740"/>
      <c r="N6" s="1740"/>
      <c r="O6" s="1740"/>
      <c r="P6" s="3849"/>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29" t="s">
        <v>479</v>
      </c>
      <c r="Q7" s="3729"/>
      <c r="R7" s="1301" t="s">
        <v>5</v>
      </c>
      <c r="S7" s="1302">
        <f t="shared" ref="S7:S15" si="0">F7</f>
        <v>0</v>
      </c>
      <c r="T7" s="1301" t="s">
        <v>5</v>
      </c>
      <c r="U7" s="1302">
        <f t="shared" ref="U7:U15" si="1">H7</f>
        <v>0</v>
      </c>
      <c r="V7" s="1301" t="s">
        <v>5</v>
      </c>
      <c r="W7" s="1302">
        <f t="shared" ref="W7:W15" si="2">J7</f>
        <v>0</v>
      </c>
      <c r="X7" s="1303"/>
      <c r="Y7" s="3720" t="s">
        <v>479</v>
      </c>
      <c r="Z7" s="3721"/>
      <c r="AA7" s="994" t="e">
        <f>D7/F7</f>
        <v>#DIV/0!</v>
      </c>
      <c r="AB7" s="994" t="e">
        <f>D7/H7</f>
        <v>#DIV/0!</v>
      </c>
      <c r="AC7" s="994" t="e">
        <f>D7/J7</f>
        <v>#DIV/0!</v>
      </c>
    </row>
    <row r="8" spans="1:29" s="1057"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29" t="s">
        <v>482</v>
      </c>
      <c r="Q8" s="3721"/>
      <c r="R8" s="1301" t="s">
        <v>5</v>
      </c>
      <c r="S8" s="1302">
        <f t="shared" si="0"/>
        <v>0</v>
      </c>
      <c r="T8" s="1301" t="s">
        <v>5</v>
      </c>
      <c r="U8" s="1302">
        <f t="shared" si="1"/>
        <v>0</v>
      </c>
      <c r="V8" s="1301" t="s">
        <v>5</v>
      </c>
      <c r="W8" s="1302">
        <f t="shared" si="2"/>
        <v>0</v>
      </c>
      <c r="X8" s="1303"/>
      <c r="Y8" s="3720" t="s">
        <v>482</v>
      </c>
      <c r="Z8" s="3721"/>
      <c r="AA8" s="994" t="e">
        <f t="shared" ref="AA8:AA47" si="3">D8/F8</f>
        <v>#DIV/0!</v>
      </c>
      <c r="AB8" s="994" t="e">
        <f t="shared" ref="AB8:AB47" si="4">D8/H8</f>
        <v>#DIV/0!</v>
      </c>
      <c r="AC8" s="994" t="e">
        <f t="shared" ref="AC8:AC47" si="5">D8/J8</f>
        <v>#DIV/0!</v>
      </c>
    </row>
    <row r="9" spans="1:29" s="1057" customFormat="1" ht="15">
      <c r="A9" s="2209"/>
      <c r="B9" s="2216"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28"/>
      <c r="Q11" s="815" t="str">
        <f t="shared" si="6"/>
        <v>容积率</v>
      </c>
      <c r="R11" s="1301" t="s">
        <v>5</v>
      </c>
      <c r="S11" s="1302" t="e">
        <f t="shared" si="0"/>
        <v>#N/A</v>
      </c>
      <c r="T11" s="1301" t="s">
        <v>5</v>
      </c>
      <c r="U11" s="1302" t="e">
        <f t="shared" si="1"/>
        <v>#N/A</v>
      </c>
      <c r="V11" s="1301" t="s">
        <v>5</v>
      </c>
      <c r="W11" s="1302" t="e">
        <f t="shared" si="2"/>
        <v>#N/A</v>
      </c>
      <c r="X11" s="1303"/>
      <c r="Y11" s="3680"/>
      <c r="Z11" s="994" t="str">
        <f t="shared" si="7"/>
        <v>容积率</v>
      </c>
      <c r="AA11" s="994" t="e">
        <f t="shared" si="3"/>
        <v>#N/A</v>
      </c>
      <c r="AB11" s="994" t="e">
        <f t="shared" si="4"/>
        <v>#N/A</v>
      </c>
      <c r="AC11" s="994" t="e">
        <f t="shared" si="5"/>
        <v>#N/A</v>
      </c>
    </row>
    <row r="12" spans="1:29" s="1057" customFormat="1" ht="15">
      <c r="A12" s="2212"/>
      <c r="B12" s="2218">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 t="shared" si="3"/>
        <v>1</v>
      </c>
      <c r="AB14" s="994">
        <f t="shared" si="4"/>
        <v>1</v>
      </c>
      <c r="AC14" s="994">
        <f t="shared" si="5"/>
        <v>1</v>
      </c>
    </row>
    <row r="15" spans="1:29" ht="99.75">
      <c r="A15" s="2205"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30" t="s">
        <v>489</v>
      </c>
      <c r="Q15" s="1304" t="str">
        <f t="shared" si="6"/>
        <v>办公集聚程度</v>
      </c>
      <c r="R15" s="1305" t="s">
        <v>5</v>
      </c>
      <c r="S15" s="1306">
        <f t="shared" si="0"/>
        <v>100</v>
      </c>
      <c r="T15" s="1305" t="s">
        <v>5</v>
      </c>
      <c r="U15" s="1306">
        <f t="shared" si="1"/>
        <v>100</v>
      </c>
      <c r="V15" s="1305" t="s">
        <v>5</v>
      </c>
      <c r="W15" s="1306">
        <f t="shared" si="2"/>
        <v>100</v>
      </c>
      <c r="X15" s="1300"/>
      <c r="Y15" s="3730"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31"/>
      <c r="Q16" s="1304"/>
      <c r="R16" s="1305"/>
      <c r="S16" s="1306"/>
      <c r="T16" s="1305"/>
      <c r="U16" s="1306"/>
      <c r="V16" s="1305"/>
      <c r="W16" s="1306"/>
      <c r="X16" s="1300"/>
      <c r="Y16" s="3731"/>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31"/>
      <c r="Q17" s="1304" t="str">
        <f>B17</f>
        <v>交通便捷度</v>
      </c>
      <c r="R17" s="1305" t="s">
        <v>5</v>
      </c>
      <c r="S17" s="1306">
        <f>F17</f>
        <v>100</v>
      </c>
      <c r="T17" s="1305" t="s">
        <v>5</v>
      </c>
      <c r="U17" s="1306">
        <f>H17</f>
        <v>100</v>
      </c>
      <c r="V17" s="1305" t="s">
        <v>5</v>
      </c>
      <c r="W17" s="1306">
        <f>J17</f>
        <v>100</v>
      </c>
      <c r="X17" s="1300"/>
      <c r="Y17" s="3731"/>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31"/>
      <c r="Q18" s="1304"/>
      <c r="R18" s="1305"/>
      <c r="S18" s="1306"/>
      <c r="T18" s="1305"/>
      <c r="U18" s="1306"/>
      <c r="V18" s="1305"/>
      <c r="W18" s="1306"/>
      <c r="X18" s="1300"/>
      <c r="Y18" s="3731"/>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31"/>
      <c r="Q19" s="1304" t="str">
        <f>B19</f>
        <v>公共配套设施</v>
      </c>
      <c r="R19" s="1305" t="s">
        <v>5</v>
      </c>
      <c r="S19" s="1306">
        <f>F19</f>
        <v>100</v>
      </c>
      <c r="T19" s="1305" t="s">
        <v>5</v>
      </c>
      <c r="U19" s="1306">
        <f>H19</f>
        <v>100</v>
      </c>
      <c r="V19" s="1305" t="s">
        <v>5</v>
      </c>
      <c r="W19" s="1306">
        <f>J19</f>
        <v>100</v>
      </c>
      <c r="X19" s="1300"/>
      <c r="Y19" s="3731"/>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31"/>
      <c r="Q20" s="1304"/>
      <c r="R20" s="1305"/>
      <c r="S20" s="1306"/>
      <c r="T20" s="1305"/>
      <c r="U20" s="1306"/>
      <c r="V20" s="1305"/>
      <c r="W20" s="1306"/>
      <c r="X20" s="1300"/>
      <c r="Y20" s="3731"/>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31"/>
      <c r="Q21" s="1304" t="str">
        <f>B21</f>
        <v>基础设施水平</v>
      </c>
      <c r="R21" s="1305" t="s">
        <v>5</v>
      </c>
      <c r="S21" s="1306">
        <f>F21</f>
        <v>100</v>
      </c>
      <c r="T21" s="1305" t="s">
        <v>5</v>
      </c>
      <c r="U21" s="1306">
        <f>H21</f>
        <v>100</v>
      </c>
      <c r="V21" s="1305" t="s">
        <v>5</v>
      </c>
      <c r="W21" s="1306">
        <f>J21</f>
        <v>100</v>
      </c>
      <c r="X21" s="1300"/>
      <c r="Y21" s="3731"/>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31"/>
      <c r="Q22" s="1304"/>
      <c r="R22" s="1305"/>
      <c r="S22" s="1306"/>
      <c r="T22" s="1305"/>
      <c r="U22" s="1306"/>
      <c r="V22" s="1305"/>
      <c r="W22" s="1306"/>
      <c r="X22" s="1300"/>
      <c r="Y22" s="3731"/>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31"/>
      <c r="Q23" s="1304" t="str">
        <f>B23</f>
        <v>环境质量</v>
      </c>
      <c r="R23" s="1305" t="s">
        <v>5</v>
      </c>
      <c r="S23" s="1306">
        <f>F23</f>
        <v>100</v>
      </c>
      <c r="T23" s="1305" t="s">
        <v>5</v>
      </c>
      <c r="U23" s="1306">
        <f>H23</f>
        <v>100</v>
      </c>
      <c r="V23" s="1305" t="s">
        <v>5</v>
      </c>
      <c r="W23" s="1306">
        <f>J23</f>
        <v>100</v>
      </c>
      <c r="X23" s="1300"/>
      <c r="Y23" s="3731"/>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31"/>
      <c r="Q24" s="1304"/>
      <c r="R24" s="1305"/>
      <c r="S24" s="1306"/>
      <c r="T24" s="1305"/>
      <c r="U24" s="1306"/>
      <c r="V24" s="1305"/>
      <c r="W24" s="1306"/>
      <c r="X24" s="1300"/>
      <c r="Y24" s="3731"/>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31"/>
      <c r="Q25" s="1304" t="str">
        <f>B25</f>
        <v>毗邻道路的类型与等级</v>
      </c>
      <c r="R25" s="1305" t="s">
        <v>5</v>
      </c>
      <c r="S25" s="1306">
        <f>F25</f>
        <v>100</v>
      </c>
      <c r="T25" s="1305" t="s">
        <v>5</v>
      </c>
      <c r="U25" s="1306">
        <f>H25</f>
        <v>100</v>
      </c>
      <c r="V25" s="1305" t="s">
        <v>5</v>
      </c>
      <c r="W25" s="1306">
        <f>J25</f>
        <v>100</v>
      </c>
      <c r="X25" s="1300"/>
      <c r="Y25" s="3731"/>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31"/>
      <c r="Q26" s="1304"/>
      <c r="R26" s="1305"/>
      <c r="S26" s="1306"/>
      <c r="T26" s="1305"/>
      <c r="U26" s="1306"/>
      <c r="V26" s="1305"/>
      <c r="W26" s="1306"/>
      <c r="X26" s="1300"/>
      <c r="Y26" s="3731"/>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31"/>
      <c r="Q27" s="1304" t="str">
        <f t="shared" ref="Q27:Q47" si="8">B27</f>
        <v>楼层</v>
      </c>
      <c r="R27" s="1305" t="s">
        <v>5</v>
      </c>
      <c r="S27" s="1306">
        <f>F27</f>
        <v>100</v>
      </c>
      <c r="T27" s="1305" t="s">
        <v>5</v>
      </c>
      <c r="U27" s="1306">
        <f>H27</f>
        <v>100</v>
      </c>
      <c r="V27" s="1305" t="s">
        <v>5</v>
      </c>
      <c r="W27" s="1306">
        <f>J27</f>
        <v>100</v>
      </c>
      <c r="X27" s="1300"/>
      <c r="Y27" s="3731"/>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31"/>
      <c r="Q28" s="815" t="str">
        <f t="shared" si="8"/>
        <v>朝向</v>
      </c>
      <c r="R28" s="1301" t="s">
        <v>5</v>
      </c>
      <c r="S28" s="1302">
        <f>F28</f>
        <v>100</v>
      </c>
      <c r="T28" s="1301" t="s">
        <v>5</v>
      </c>
      <c r="U28" s="1302">
        <f>H28</f>
        <v>100</v>
      </c>
      <c r="V28" s="1301" t="s">
        <v>5</v>
      </c>
      <c r="W28" s="1302">
        <f>J28</f>
        <v>100</v>
      </c>
      <c r="X28" s="1303"/>
      <c r="Y28" s="3731"/>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31"/>
      <c r="Q29" s="1304">
        <f t="shared" si="8"/>
        <v>111</v>
      </c>
      <c r="R29" s="1305" t="s">
        <v>5</v>
      </c>
      <c r="S29" s="1306">
        <f t="shared" ref="S29:S47" si="9">F29</f>
        <v>100</v>
      </c>
      <c r="T29" s="1305" t="s">
        <v>5</v>
      </c>
      <c r="U29" s="1306">
        <f t="shared" ref="U29:U47" si="10">H29</f>
        <v>100</v>
      </c>
      <c r="V29" s="1305" t="s">
        <v>5</v>
      </c>
      <c r="W29" s="1306">
        <f t="shared" ref="W29:W47" si="11">J29</f>
        <v>100</v>
      </c>
      <c r="X29" s="1300"/>
      <c r="Y29" s="3731"/>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31"/>
      <c r="Q30" s="1304">
        <f t="shared" si="8"/>
        <v>111</v>
      </c>
      <c r="R30" s="1305" t="s">
        <v>5</v>
      </c>
      <c r="S30" s="1306">
        <f t="shared" si="9"/>
        <v>100</v>
      </c>
      <c r="T30" s="1305" t="s">
        <v>5</v>
      </c>
      <c r="U30" s="1306">
        <f t="shared" si="10"/>
        <v>100</v>
      </c>
      <c r="V30" s="1305" t="s">
        <v>5</v>
      </c>
      <c r="W30" s="1306">
        <f t="shared" si="11"/>
        <v>100</v>
      </c>
      <c r="X30" s="1300"/>
      <c r="Y30" s="3731"/>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31"/>
      <c r="Q31" s="1304">
        <f t="shared" si="8"/>
        <v>111</v>
      </c>
      <c r="R31" s="1305" t="s">
        <v>5</v>
      </c>
      <c r="S31" s="1306">
        <f t="shared" si="9"/>
        <v>100</v>
      </c>
      <c r="T31" s="1305" t="s">
        <v>5</v>
      </c>
      <c r="U31" s="1306">
        <f t="shared" si="10"/>
        <v>100</v>
      </c>
      <c r="V31" s="1305" t="s">
        <v>5</v>
      </c>
      <c r="W31" s="1306">
        <f t="shared" si="11"/>
        <v>100</v>
      </c>
      <c r="X31" s="1300"/>
      <c r="Y31" s="3731"/>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31"/>
      <c r="Q32" s="1304">
        <f t="shared" si="8"/>
        <v>111</v>
      </c>
      <c r="R32" s="1305" t="s">
        <v>5</v>
      </c>
      <c r="S32" s="1306">
        <f t="shared" si="9"/>
        <v>100</v>
      </c>
      <c r="T32" s="1305" t="s">
        <v>5</v>
      </c>
      <c r="U32" s="1306">
        <f t="shared" si="10"/>
        <v>100</v>
      </c>
      <c r="V32" s="1305" t="s">
        <v>5</v>
      </c>
      <c r="W32" s="1306">
        <f t="shared" si="11"/>
        <v>100</v>
      </c>
      <c r="X32" s="1300"/>
      <c r="Y32" s="3731"/>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32" t="s">
        <v>499</v>
      </c>
      <c r="Q33" s="1304" t="str">
        <f t="shared" si="8"/>
        <v>建筑类型</v>
      </c>
      <c r="R33" s="1305" t="s">
        <v>5</v>
      </c>
      <c r="S33" s="1306">
        <f t="shared" si="9"/>
        <v>100</v>
      </c>
      <c r="T33" s="1305" t="s">
        <v>5</v>
      </c>
      <c r="U33" s="1306">
        <f t="shared" si="10"/>
        <v>100</v>
      </c>
      <c r="V33" s="1305" t="s">
        <v>5</v>
      </c>
      <c r="W33" s="1306">
        <f t="shared" si="11"/>
        <v>100</v>
      </c>
      <c r="X33" s="1300"/>
      <c r="Y33" s="3733"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33"/>
      <c r="Q34" s="816" t="str">
        <f t="shared" si="8"/>
        <v>项目建筑规模</v>
      </c>
      <c r="R34" s="1308" t="s">
        <v>5</v>
      </c>
      <c r="S34" s="1309" t="e">
        <f t="shared" si="9"/>
        <v>#N/A</v>
      </c>
      <c r="T34" s="1308" t="s">
        <v>5</v>
      </c>
      <c r="U34" s="1309" t="e">
        <f t="shared" si="10"/>
        <v>#N/A</v>
      </c>
      <c r="V34" s="1308" t="s">
        <v>5</v>
      </c>
      <c r="W34" s="1309" t="e">
        <f t="shared" si="11"/>
        <v>#N/A</v>
      </c>
      <c r="X34" s="1310"/>
      <c r="Y34" s="3733"/>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33"/>
      <c r="Q35" s="1304" t="str">
        <f t="shared" si="8"/>
        <v>建筑结构</v>
      </c>
      <c r="R35" s="1305" t="s">
        <v>5</v>
      </c>
      <c r="S35" s="1306">
        <f t="shared" si="9"/>
        <v>100</v>
      </c>
      <c r="T35" s="1305" t="s">
        <v>5</v>
      </c>
      <c r="U35" s="1306">
        <f t="shared" si="10"/>
        <v>100</v>
      </c>
      <c r="V35" s="1305" t="s">
        <v>5</v>
      </c>
      <c r="W35" s="1306">
        <f t="shared" si="11"/>
        <v>100</v>
      </c>
      <c r="X35" s="1300"/>
      <c r="Y35" s="3733"/>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33"/>
      <c r="Q36" s="1304" t="str">
        <f t="shared" si="8"/>
        <v>公共部分装修</v>
      </c>
      <c r="R36" s="1305" t="s">
        <v>5</v>
      </c>
      <c r="S36" s="1306">
        <f t="shared" si="9"/>
        <v>100</v>
      </c>
      <c r="T36" s="1305" t="s">
        <v>5</v>
      </c>
      <c r="U36" s="1306">
        <f t="shared" si="10"/>
        <v>100</v>
      </c>
      <c r="V36" s="1305" t="s">
        <v>5</v>
      </c>
      <c r="W36" s="1306">
        <f t="shared" si="11"/>
        <v>100</v>
      </c>
      <c r="X36" s="1300"/>
      <c r="Y36" s="3733"/>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33"/>
      <c r="Q37" s="1304" t="str">
        <f t="shared" si="8"/>
        <v>成新度</v>
      </c>
      <c r="R37" s="1305" t="s">
        <v>5</v>
      </c>
      <c r="S37" s="1306" t="e">
        <f t="shared" si="9"/>
        <v>#N/A</v>
      </c>
      <c r="T37" s="1305" t="s">
        <v>5</v>
      </c>
      <c r="U37" s="1306" t="e">
        <f t="shared" si="10"/>
        <v>#N/A</v>
      </c>
      <c r="V37" s="1305" t="s">
        <v>5</v>
      </c>
      <c r="W37" s="1306" t="e">
        <f t="shared" si="11"/>
        <v>#N/A</v>
      </c>
      <c r="X37" s="1300"/>
      <c r="Y37" s="3733"/>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33"/>
      <c r="Q38" s="815" t="str">
        <f t="shared" si="8"/>
        <v>写字楼等级</v>
      </c>
      <c r="R38" s="1301" t="s">
        <v>5</v>
      </c>
      <c r="S38" s="1302">
        <f t="shared" si="9"/>
        <v>100</v>
      </c>
      <c r="T38" s="1301" t="s">
        <v>5</v>
      </c>
      <c r="U38" s="1302">
        <f t="shared" si="10"/>
        <v>100</v>
      </c>
      <c r="V38" s="1301" t="s">
        <v>5</v>
      </c>
      <c r="W38" s="1302">
        <f t="shared" si="11"/>
        <v>100</v>
      </c>
      <c r="X38" s="1303"/>
      <c r="Y38" s="3733"/>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33" t="s">
        <v>499</v>
      </c>
      <c r="Q39" s="1304" t="str">
        <f t="shared" si="8"/>
        <v>物业管理</v>
      </c>
      <c r="R39" s="1305" t="s">
        <v>5</v>
      </c>
      <c r="S39" s="1306">
        <f t="shared" si="9"/>
        <v>100</v>
      </c>
      <c r="T39" s="1305" t="s">
        <v>5</v>
      </c>
      <c r="U39" s="1306">
        <f t="shared" si="10"/>
        <v>100</v>
      </c>
      <c r="V39" s="1305" t="s">
        <v>5</v>
      </c>
      <c r="W39" s="1306">
        <f t="shared" si="11"/>
        <v>100</v>
      </c>
      <c r="X39" s="1300"/>
      <c r="Y39" s="3733"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33"/>
      <c r="Q40" s="1304" t="str">
        <f t="shared" si="8"/>
        <v>市政基础设施</v>
      </c>
      <c r="R40" s="1305" t="s">
        <v>5</v>
      </c>
      <c r="S40" s="1306">
        <f t="shared" si="9"/>
        <v>100</v>
      </c>
      <c r="T40" s="1305" t="s">
        <v>5</v>
      </c>
      <c r="U40" s="1306">
        <f t="shared" si="10"/>
        <v>100</v>
      </c>
      <c r="V40" s="1305" t="s">
        <v>5</v>
      </c>
      <c r="W40" s="1306">
        <f t="shared" si="11"/>
        <v>100</v>
      </c>
      <c r="X40" s="1300"/>
      <c r="Y40" s="3733"/>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33"/>
      <c r="Q41" s="1304" t="str">
        <f t="shared" si="8"/>
        <v>层高</v>
      </c>
      <c r="R41" s="1305" t="s">
        <v>5</v>
      </c>
      <c r="S41" s="1306">
        <f t="shared" si="9"/>
        <v>100</v>
      </c>
      <c r="T41" s="1305" t="s">
        <v>5</v>
      </c>
      <c r="U41" s="1306">
        <f t="shared" si="10"/>
        <v>100</v>
      </c>
      <c r="V41" s="1305" t="s">
        <v>5</v>
      </c>
      <c r="W41" s="1306">
        <f t="shared" si="11"/>
        <v>100</v>
      </c>
      <c r="X41" s="1300"/>
      <c r="Y41" s="3733"/>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33"/>
      <c r="Q42" s="816" t="str">
        <f t="shared" si="8"/>
        <v>单套建筑面积</v>
      </c>
      <c r="R42" s="1308" t="s">
        <v>5</v>
      </c>
      <c r="S42" s="1309">
        <f t="shared" si="9"/>
        <v>100</v>
      </c>
      <c r="T42" s="1308" t="s">
        <v>5</v>
      </c>
      <c r="U42" s="1309">
        <f t="shared" si="10"/>
        <v>100</v>
      </c>
      <c r="V42" s="1308" t="s">
        <v>5</v>
      </c>
      <c r="W42" s="1309">
        <f t="shared" si="11"/>
        <v>100</v>
      </c>
      <c r="X42" s="1310"/>
      <c r="Y42" s="3733"/>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33"/>
      <c r="Q43" s="1304" t="str">
        <f t="shared" si="8"/>
        <v>内部装修</v>
      </c>
      <c r="R43" s="1305" t="s">
        <v>5</v>
      </c>
      <c r="S43" s="1306">
        <f t="shared" si="9"/>
        <v>100</v>
      </c>
      <c r="T43" s="1305" t="s">
        <v>5</v>
      </c>
      <c r="U43" s="1306">
        <f t="shared" si="10"/>
        <v>100</v>
      </c>
      <c r="V43" s="1305" t="s">
        <v>5</v>
      </c>
      <c r="W43" s="1306">
        <f t="shared" si="11"/>
        <v>100</v>
      </c>
      <c r="X43" s="1300"/>
      <c r="Y43" s="3733"/>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33"/>
      <c r="Q44" s="1304" t="str">
        <f t="shared" si="8"/>
        <v>内部装修维护情况</v>
      </c>
      <c r="R44" s="1305" t="s">
        <v>5</v>
      </c>
      <c r="S44" s="1306">
        <f t="shared" si="9"/>
        <v>100</v>
      </c>
      <c r="T44" s="1305" t="s">
        <v>5</v>
      </c>
      <c r="U44" s="1306">
        <f t="shared" si="10"/>
        <v>100</v>
      </c>
      <c r="V44" s="1305" t="s">
        <v>5</v>
      </c>
      <c r="W44" s="1306">
        <f t="shared" si="11"/>
        <v>100</v>
      </c>
      <c r="X44" s="1300"/>
      <c r="Y44" s="3733"/>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33"/>
      <c r="Q45" s="815">
        <f t="shared" si="8"/>
        <v>111</v>
      </c>
      <c r="R45" s="1301" t="s">
        <v>5</v>
      </c>
      <c r="S45" s="1302">
        <f t="shared" si="9"/>
        <v>100</v>
      </c>
      <c r="T45" s="1301" t="s">
        <v>5</v>
      </c>
      <c r="U45" s="1302">
        <f t="shared" si="10"/>
        <v>100</v>
      </c>
      <c r="V45" s="1301" t="s">
        <v>5</v>
      </c>
      <c r="W45" s="1302">
        <f t="shared" si="11"/>
        <v>100</v>
      </c>
      <c r="X45" s="1303"/>
      <c r="Y45" s="3733"/>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33"/>
      <c r="Q46" s="1304">
        <f t="shared" si="8"/>
        <v>111</v>
      </c>
      <c r="R46" s="1305" t="s">
        <v>5</v>
      </c>
      <c r="S46" s="1306">
        <f t="shared" si="9"/>
        <v>100</v>
      </c>
      <c r="T46" s="1305" t="s">
        <v>5</v>
      </c>
      <c r="U46" s="1306">
        <f t="shared" si="10"/>
        <v>100</v>
      </c>
      <c r="V46" s="1305" t="s">
        <v>5</v>
      </c>
      <c r="W46" s="1306">
        <f t="shared" si="11"/>
        <v>100</v>
      </c>
      <c r="X46" s="1300"/>
      <c r="Y46" s="3733"/>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18"/>
      <c r="Q47" s="1304">
        <f t="shared" si="8"/>
        <v>111</v>
      </c>
      <c r="R47" s="1305" t="s">
        <v>5</v>
      </c>
      <c r="S47" s="1306">
        <f t="shared" si="9"/>
        <v>100</v>
      </c>
      <c r="T47" s="1305" t="s">
        <v>5</v>
      </c>
      <c r="U47" s="1306">
        <f t="shared" si="10"/>
        <v>100</v>
      </c>
      <c r="V47" s="1305" t="s">
        <v>5</v>
      </c>
      <c r="W47" s="1306">
        <f t="shared" si="11"/>
        <v>100</v>
      </c>
      <c r="X47" s="1300"/>
      <c r="Y47" s="3818"/>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35" t="str">
        <f>A48</f>
        <v>成交单价（元/平方米）</v>
      </c>
      <c r="Q48" s="3728"/>
      <c r="R48" s="3744">
        <f>E48</f>
        <v>0</v>
      </c>
      <c r="S48" s="3744"/>
      <c r="T48" s="3744">
        <f>G48</f>
        <v>0</v>
      </c>
      <c r="U48" s="3744"/>
      <c r="V48" s="3744">
        <f>I48</f>
        <v>0</v>
      </c>
      <c r="W48" s="3744"/>
      <c r="X48" s="798"/>
      <c r="Y48" s="1312"/>
      <c r="Z48" s="798"/>
      <c r="AA48" s="798"/>
      <c r="AB48" s="798"/>
      <c r="AC48" s="798"/>
    </row>
    <row r="49" spans="1:29" ht="15.75" thickBot="1">
      <c r="A49" s="563" t="s">
        <v>2042</v>
      </c>
      <c r="B49" s="810"/>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735" t="str">
        <f>A49</f>
        <v>比较价格（元/平方米）</v>
      </c>
      <c r="Q49" s="3728"/>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798"/>
      <c r="Y49" s="798"/>
      <c r="Z49" s="798"/>
      <c r="AA49" s="798"/>
      <c r="AB49" s="798"/>
      <c r="AC49" s="798"/>
    </row>
    <row r="50" spans="1:29" ht="15.75" thickBot="1">
      <c r="A50" s="567" t="s">
        <v>2189</v>
      </c>
      <c r="B50" s="568"/>
      <c r="C50" s="468" t="e">
        <f>R50</f>
        <v>#DIV/0!</v>
      </c>
      <c r="D50" s="468"/>
      <c r="E50" s="468"/>
      <c r="F50" s="468"/>
      <c r="G50" s="468"/>
      <c r="H50" s="468"/>
      <c r="I50" s="468"/>
      <c r="J50" s="468"/>
      <c r="K50" s="1334"/>
      <c r="L50" s="1749"/>
      <c r="M50" s="1740"/>
      <c r="N50" s="1740"/>
      <c r="O50" s="1740"/>
      <c r="P50" s="3850" t="str">
        <f>A50</f>
        <v>估价对象XX用房的比较价格（楼面单价，元/平方米）</v>
      </c>
      <c r="Q50" s="3735"/>
      <c r="R50" s="3817" t="e">
        <f>IF(F1="售价",ROUND(IF(D49="简单平均",AVERAGE(R49:V49),R49*F49+T49*H49+V49*J49),0),ROUND(IF(D49="简单平均",AVERAGE(R49:V49),R49*F49+T49*H49+V49*J49),1))</f>
        <v>#DIV/0!</v>
      </c>
      <c r="S50" s="3817"/>
      <c r="T50" s="3817"/>
      <c r="U50" s="3817"/>
      <c r="V50" s="3817"/>
      <c r="W50" s="3817"/>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36" t="s">
        <v>471</v>
      </c>
      <c r="D4" s="3737"/>
      <c r="E4" s="3763" t="s">
        <v>472</v>
      </c>
      <c r="F4" s="3764"/>
      <c r="G4" s="3736" t="s">
        <v>473</v>
      </c>
      <c r="H4" s="3737"/>
      <c r="I4" s="3736" t="s">
        <v>474</v>
      </c>
      <c r="J4" s="3737"/>
      <c r="K4" s="464" t="s">
        <v>475</v>
      </c>
      <c r="L4" s="1739"/>
      <c r="M4" s="1740"/>
      <c r="N4" s="1740"/>
      <c r="O4" s="1740"/>
      <c r="P4" s="3738" t="s">
        <v>476</v>
      </c>
      <c r="Q4" s="3739"/>
      <c r="R4" s="3722" t="s">
        <v>472</v>
      </c>
      <c r="S4" s="3723"/>
      <c r="T4" s="3722" t="s">
        <v>473</v>
      </c>
      <c r="U4" s="3723"/>
      <c r="V4" s="3744" t="s">
        <v>474</v>
      </c>
      <c r="W4" s="3744"/>
      <c r="X4" s="1300"/>
      <c r="Y4" s="3722" t="s">
        <v>476</v>
      </c>
      <c r="Z4" s="3723"/>
      <c r="AA4" s="3717" t="s">
        <v>472</v>
      </c>
      <c r="AB4" s="3718" t="s">
        <v>473</v>
      </c>
      <c r="AC4" s="3717" t="s">
        <v>474</v>
      </c>
    </row>
    <row r="5" spans="1:29" ht="15">
      <c r="A5" s="465"/>
      <c r="B5" s="466"/>
      <c r="C5" s="3747" t="s">
        <v>2183</v>
      </c>
      <c r="D5" s="3748"/>
      <c r="E5" s="3765" t="s">
        <v>2184</v>
      </c>
      <c r="F5" s="3766"/>
      <c r="G5" s="3747" t="s">
        <v>2185</v>
      </c>
      <c r="H5" s="3748"/>
      <c r="I5" s="3747" t="s">
        <v>2186</v>
      </c>
      <c r="J5" s="3748"/>
      <c r="K5" s="464"/>
      <c r="L5" s="1739"/>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67" t="s">
        <v>2187</v>
      </c>
      <c r="F6" s="3768"/>
      <c r="G6" s="3745" t="s">
        <v>2187</v>
      </c>
      <c r="H6" s="3746"/>
      <c r="I6" s="3745" t="s">
        <v>2187</v>
      </c>
      <c r="J6" s="3746"/>
      <c r="K6" s="464"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20" t="s">
        <v>479</v>
      </c>
      <c r="Q7" s="3729"/>
      <c r="R7" s="1301" t="s">
        <v>5</v>
      </c>
      <c r="S7" s="1302">
        <f t="shared" ref="S7:S15" si="0">F7</f>
        <v>0</v>
      </c>
      <c r="T7" s="1301" t="s">
        <v>5</v>
      </c>
      <c r="U7" s="1302">
        <f t="shared" ref="U7:U15" si="1">H7</f>
        <v>0</v>
      </c>
      <c r="V7" s="1301" t="s">
        <v>5</v>
      </c>
      <c r="W7" s="1302">
        <f t="shared" ref="W7:W15" si="2">J7</f>
        <v>0</v>
      </c>
      <c r="X7" s="1303"/>
      <c r="Y7" s="3720" t="s">
        <v>479</v>
      </c>
      <c r="Z7" s="3721"/>
      <c r="AA7" s="994" t="e">
        <f>D7/F7</f>
        <v>#DIV/0!</v>
      </c>
      <c r="AB7" s="994" t="e">
        <f>D7/H7</f>
        <v>#DIV/0!</v>
      </c>
      <c r="AC7" s="994" t="e">
        <f>D7/J7</f>
        <v>#DIV/0!</v>
      </c>
    </row>
    <row r="8" spans="1:29" s="1057"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20" t="s">
        <v>482</v>
      </c>
      <c r="Q8" s="3721"/>
      <c r="R8" s="1301" t="s">
        <v>5</v>
      </c>
      <c r="S8" s="1302">
        <f t="shared" si="0"/>
        <v>0</v>
      </c>
      <c r="T8" s="1301" t="s">
        <v>5</v>
      </c>
      <c r="U8" s="1302">
        <f t="shared" si="1"/>
        <v>0</v>
      </c>
      <c r="V8" s="1301" t="s">
        <v>5</v>
      </c>
      <c r="W8" s="1302">
        <f t="shared" si="2"/>
        <v>0</v>
      </c>
      <c r="X8" s="1303"/>
      <c r="Y8" s="3720" t="s">
        <v>482</v>
      </c>
      <c r="Z8" s="3721"/>
      <c r="AA8" s="994" t="e">
        <f t="shared" ref="AA8:AA40" si="3">D8/F8</f>
        <v>#DIV/0!</v>
      </c>
      <c r="AB8" s="994" t="e">
        <f t="shared" ref="AB8:AB40" si="4">D8/H8</f>
        <v>#DIV/0!</v>
      </c>
      <c r="AC8" s="994" t="e">
        <f t="shared" ref="AC8:AC40" si="5">D8/J8</f>
        <v>#DIV/0!</v>
      </c>
    </row>
    <row r="9" spans="1:29" s="1057" customFormat="1" ht="15">
      <c r="A9" s="2209"/>
      <c r="B9" s="2216"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28" t="s">
        <v>484</v>
      </c>
      <c r="Q9" s="815" t="str">
        <f t="shared" ref="Q9:Q15" si="6">B9</f>
        <v>用途</v>
      </c>
      <c r="R9" s="1301" t="s">
        <v>5</v>
      </c>
      <c r="S9" s="1302">
        <f t="shared" si="0"/>
        <v>100</v>
      </c>
      <c r="T9" s="1301" t="s">
        <v>5</v>
      </c>
      <c r="U9" s="1302">
        <f t="shared" si="1"/>
        <v>100</v>
      </c>
      <c r="V9" s="1301" t="s">
        <v>5</v>
      </c>
      <c r="W9" s="1302">
        <f t="shared" si="2"/>
        <v>100</v>
      </c>
      <c r="X9" s="1303"/>
      <c r="Y9" s="3680"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28"/>
      <c r="Q11" s="815" t="str">
        <f t="shared" si="6"/>
        <v>容积率</v>
      </c>
      <c r="R11" s="1301" t="s">
        <v>5</v>
      </c>
      <c r="S11" s="1302" t="e">
        <f t="shared" si="0"/>
        <v>#N/A</v>
      </c>
      <c r="T11" s="1301" t="s">
        <v>5</v>
      </c>
      <c r="U11" s="1302" t="e">
        <f t="shared" si="1"/>
        <v>#N/A</v>
      </c>
      <c r="V11" s="1301" t="s">
        <v>5</v>
      </c>
      <c r="W11" s="1302" t="e">
        <f t="shared" si="2"/>
        <v>#N/A</v>
      </c>
      <c r="X11" s="1303"/>
      <c r="Y11" s="3680"/>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
      <c r="A13" s="2212"/>
      <c r="B13" s="2218">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15.75" thickBot="1">
      <c r="A14" s="2213"/>
      <c r="B14" s="2219">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28"/>
      <c r="Q14" s="815">
        <f t="shared" si="6"/>
        <v>111</v>
      </c>
      <c r="R14" s="1301" t="s">
        <v>5</v>
      </c>
      <c r="S14" s="1302">
        <f t="shared" si="0"/>
        <v>100</v>
      </c>
      <c r="T14" s="1301" t="s">
        <v>5</v>
      </c>
      <c r="U14" s="1302">
        <f t="shared" si="1"/>
        <v>100</v>
      </c>
      <c r="V14" s="1301" t="s">
        <v>5</v>
      </c>
      <c r="W14" s="1302">
        <f t="shared" si="2"/>
        <v>100</v>
      </c>
      <c r="X14" s="1303"/>
      <c r="Y14" s="3680"/>
      <c r="Z14" s="994">
        <f t="shared" si="7"/>
        <v>111</v>
      </c>
      <c r="AA14" s="994">
        <f t="shared" si="3"/>
        <v>1</v>
      </c>
      <c r="AB14" s="994">
        <f t="shared" si="4"/>
        <v>1</v>
      </c>
      <c r="AC14" s="994">
        <f t="shared" si="5"/>
        <v>1</v>
      </c>
    </row>
    <row r="15" spans="1:29" ht="57">
      <c r="A15" s="2205"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30" t="s">
        <v>489</v>
      </c>
      <c r="Q15" s="1304" t="str">
        <f t="shared" si="6"/>
        <v>产业集聚程度</v>
      </c>
      <c r="R15" s="1305" t="s">
        <v>5</v>
      </c>
      <c r="S15" s="1306">
        <f t="shared" si="0"/>
        <v>100</v>
      </c>
      <c r="T15" s="1305" t="s">
        <v>5</v>
      </c>
      <c r="U15" s="1306">
        <f t="shared" si="1"/>
        <v>100</v>
      </c>
      <c r="V15" s="1305" t="s">
        <v>5</v>
      </c>
      <c r="W15" s="1306">
        <f t="shared" si="2"/>
        <v>100</v>
      </c>
      <c r="X15" s="1300"/>
      <c r="Y15" s="3730"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31"/>
      <c r="Q16" s="1304"/>
      <c r="R16" s="1305"/>
      <c r="S16" s="1306"/>
      <c r="T16" s="1305"/>
      <c r="U16" s="1306"/>
      <c r="V16" s="1305"/>
      <c r="W16" s="1306"/>
      <c r="X16" s="1300"/>
      <c r="Y16" s="3731"/>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31"/>
      <c r="Q17" s="1304" t="str">
        <f>B17</f>
        <v>交通便捷度</v>
      </c>
      <c r="R17" s="1305" t="s">
        <v>5</v>
      </c>
      <c r="S17" s="1306">
        <f>F17</f>
        <v>100</v>
      </c>
      <c r="T17" s="1305" t="s">
        <v>5</v>
      </c>
      <c r="U17" s="1306">
        <f>H17</f>
        <v>100</v>
      </c>
      <c r="V17" s="1305" t="s">
        <v>5</v>
      </c>
      <c r="W17" s="1306">
        <f>J17</f>
        <v>100</v>
      </c>
      <c r="X17" s="1300"/>
      <c r="Y17" s="3731"/>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31"/>
      <c r="Q18" s="1304"/>
      <c r="R18" s="1305"/>
      <c r="S18" s="1306"/>
      <c r="T18" s="1305"/>
      <c r="U18" s="1306"/>
      <c r="V18" s="1305"/>
      <c r="W18" s="1306"/>
      <c r="X18" s="1300"/>
      <c r="Y18" s="3731"/>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31"/>
      <c r="Q19" s="1304" t="str">
        <f>B19</f>
        <v>公共配套设施</v>
      </c>
      <c r="R19" s="1305" t="s">
        <v>5</v>
      </c>
      <c r="S19" s="1306">
        <f>F19</f>
        <v>100</v>
      </c>
      <c r="T19" s="1305" t="s">
        <v>5</v>
      </c>
      <c r="U19" s="1306">
        <f>H19</f>
        <v>100</v>
      </c>
      <c r="V19" s="1305" t="s">
        <v>5</v>
      </c>
      <c r="W19" s="1306">
        <f>J19</f>
        <v>100</v>
      </c>
      <c r="X19" s="1300"/>
      <c r="Y19" s="3731"/>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31"/>
      <c r="Q20" s="1304"/>
      <c r="R20" s="1305"/>
      <c r="S20" s="1306"/>
      <c r="T20" s="1305"/>
      <c r="U20" s="1306"/>
      <c r="V20" s="1305"/>
      <c r="W20" s="1306"/>
      <c r="X20" s="1300"/>
      <c r="Y20" s="3731"/>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31"/>
      <c r="Q21" s="1304" t="str">
        <f>B21</f>
        <v>基础设施水平</v>
      </c>
      <c r="R21" s="1305" t="s">
        <v>5</v>
      </c>
      <c r="S21" s="1306">
        <f>F21</f>
        <v>100</v>
      </c>
      <c r="T21" s="1305" t="s">
        <v>5</v>
      </c>
      <c r="U21" s="1306">
        <f>H21</f>
        <v>100</v>
      </c>
      <c r="V21" s="1305" t="s">
        <v>5</v>
      </c>
      <c r="W21" s="1306">
        <f>J21</f>
        <v>100</v>
      </c>
      <c r="X21" s="1300"/>
      <c r="Y21" s="3731"/>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31"/>
      <c r="Q22" s="1304"/>
      <c r="R22" s="1305"/>
      <c r="S22" s="1306"/>
      <c r="T22" s="1305"/>
      <c r="U22" s="1306"/>
      <c r="V22" s="1305"/>
      <c r="W22" s="1306"/>
      <c r="X22" s="1300"/>
      <c r="Y22" s="3731"/>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31"/>
      <c r="Q23" s="1304" t="str">
        <f>B23</f>
        <v>环境质量</v>
      </c>
      <c r="R23" s="1305" t="s">
        <v>5</v>
      </c>
      <c r="S23" s="1306">
        <f>F23</f>
        <v>100</v>
      </c>
      <c r="T23" s="1305" t="s">
        <v>5</v>
      </c>
      <c r="U23" s="1306">
        <f>H23</f>
        <v>100</v>
      </c>
      <c r="V23" s="1305" t="s">
        <v>5</v>
      </c>
      <c r="W23" s="1306">
        <f>J23</f>
        <v>100</v>
      </c>
      <c r="X23" s="1300"/>
      <c r="Y23" s="3731"/>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31"/>
      <c r="Q24" s="1304"/>
      <c r="R24" s="1305"/>
      <c r="S24" s="1306"/>
      <c r="T24" s="1305"/>
      <c r="U24" s="1306"/>
      <c r="V24" s="1305"/>
      <c r="W24" s="1306"/>
      <c r="X24" s="1300"/>
      <c r="Y24" s="3731"/>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31"/>
      <c r="Q25" s="1304">
        <f>B25</f>
        <v>111</v>
      </c>
      <c r="R25" s="1305" t="s">
        <v>5</v>
      </c>
      <c r="S25" s="1306">
        <f>F25</f>
        <v>100</v>
      </c>
      <c r="T25" s="1305" t="s">
        <v>5</v>
      </c>
      <c r="U25" s="1306">
        <f>H25</f>
        <v>100</v>
      </c>
      <c r="V25" s="1305" t="s">
        <v>5</v>
      </c>
      <c r="W25" s="1306">
        <f>J25</f>
        <v>100</v>
      </c>
      <c r="X25" s="1300"/>
      <c r="Y25" s="3731"/>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31"/>
      <c r="Q26" s="1304">
        <f t="shared" ref="Q26:Q40" si="8">B26</f>
        <v>111</v>
      </c>
      <c r="R26" s="1305" t="s">
        <v>5</v>
      </c>
      <c r="S26" s="1306">
        <f>F26</f>
        <v>100</v>
      </c>
      <c r="T26" s="1305" t="s">
        <v>5</v>
      </c>
      <c r="U26" s="1306">
        <f>H26</f>
        <v>100</v>
      </c>
      <c r="V26" s="1305" t="s">
        <v>5</v>
      </c>
      <c r="W26" s="1306">
        <f>J26</f>
        <v>100</v>
      </c>
      <c r="X26" s="1300"/>
      <c r="Y26" s="3731"/>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31"/>
      <c r="Q27" s="815">
        <f t="shared" si="8"/>
        <v>111</v>
      </c>
      <c r="R27" s="1301" t="s">
        <v>5</v>
      </c>
      <c r="S27" s="1302">
        <f>F27</f>
        <v>100</v>
      </c>
      <c r="T27" s="1301" t="s">
        <v>5</v>
      </c>
      <c r="U27" s="1302">
        <f>H27</f>
        <v>100</v>
      </c>
      <c r="V27" s="1301" t="s">
        <v>5</v>
      </c>
      <c r="W27" s="1302">
        <f>J27</f>
        <v>100</v>
      </c>
      <c r="X27" s="1303"/>
      <c r="Y27" s="3731"/>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31"/>
      <c r="Q28" s="1304">
        <f t="shared" si="8"/>
        <v>111</v>
      </c>
      <c r="R28" s="1305" t="s">
        <v>5</v>
      </c>
      <c r="S28" s="1306">
        <f t="shared" ref="S28:S40" si="9">F28</f>
        <v>100</v>
      </c>
      <c r="T28" s="1305" t="s">
        <v>5</v>
      </c>
      <c r="U28" s="1306">
        <f t="shared" ref="U28:U40" si="10">H28</f>
        <v>100</v>
      </c>
      <c r="V28" s="1305" t="s">
        <v>5</v>
      </c>
      <c r="W28" s="1306">
        <f t="shared" ref="W28:W40" si="11">J28</f>
        <v>100</v>
      </c>
      <c r="X28" s="1300"/>
      <c r="Y28" s="3731"/>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32" t="s">
        <v>499</v>
      </c>
      <c r="Q29" s="1304" t="str">
        <f t="shared" si="8"/>
        <v>建筑类型</v>
      </c>
      <c r="R29" s="1305" t="s">
        <v>5</v>
      </c>
      <c r="S29" s="1306">
        <f t="shared" si="9"/>
        <v>100</v>
      </c>
      <c r="T29" s="1305" t="s">
        <v>5</v>
      </c>
      <c r="U29" s="1306">
        <f t="shared" si="10"/>
        <v>100</v>
      </c>
      <c r="V29" s="1305" t="s">
        <v>5</v>
      </c>
      <c r="W29" s="1306">
        <f t="shared" si="11"/>
        <v>100</v>
      </c>
      <c r="X29" s="1300"/>
      <c r="Y29" s="3733"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33"/>
      <c r="Q30" s="816" t="str">
        <f t="shared" si="8"/>
        <v>项目建筑规模</v>
      </c>
      <c r="R30" s="1308" t="s">
        <v>5</v>
      </c>
      <c r="S30" s="1309" t="e">
        <f t="shared" si="9"/>
        <v>#N/A</v>
      </c>
      <c r="T30" s="1308" t="s">
        <v>5</v>
      </c>
      <c r="U30" s="1309" t="e">
        <f t="shared" si="10"/>
        <v>#N/A</v>
      </c>
      <c r="V30" s="1308" t="s">
        <v>5</v>
      </c>
      <c r="W30" s="1309" t="e">
        <f t="shared" si="11"/>
        <v>#N/A</v>
      </c>
      <c r="X30" s="1310"/>
      <c r="Y30" s="3733"/>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33"/>
      <c r="Q31" s="1304" t="str">
        <f t="shared" si="8"/>
        <v>建筑结构</v>
      </c>
      <c r="R31" s="1305" t="s">
        <v>5</v>
      </c>
      <c r="S31" s="1306">
        <f t="shared" si="9"/>
        <v>100</v>
      </c>
      <c r="T31" s="1305" t="s">
        <v>5</v>
      </c>
      <c r="U31" s="1306">
        <f t="shared" si="10"/>
        <v>100</v>
      </c>
      <c r="V31" s="1305" t="s">
        <v>5</v>
      </c>
      <c r="W31" s="1306">
        <f t="shared" si="11"/>
        <v>100</v>
      </c>
      <c r="X31" s="1300"/>
      <c r="Y31" s="3733"/>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33"/>
      <c r="Q32" s="1304" t="str">
        <f t="shared" si="8"/>
        <v>公共部分装修</v>
      </c>
      <c r="R32" s="1305" t="s">
        <v>5</v>
      </c>
      <c r="S32" s="1306">
        <f t="shared" si="9"/>
        <v>100</v>
      </c>
      <c r="T32" s="1305" t="s">
        <v>5</v>
      </c>
      <c r="U32" s="1306">
        <f t="shared" si="10"/>
        <v>100</v>
      </c>
      <c r="V32" s="1305" t="s">
        <v>5</v>
      </c>
      <c r="W32" s="1306">
        <f t="shared" si="11"/>
        <v>100</v>
      </c>
      <c r="X32" s="1300"/>
      <c r="Y32" s="3733"/>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33"/>
      <c r="Q33" s="1304" t="str">
        <f t="shared" si="8"/>
        <v>成新度</v>
      </c>
      <c r="R33" s="1305" t="s">
        <v>5</v>
      </c>
      <c r="S33" s="1306" t="e">
        <f t="shared" si="9"/>
        <v>#N/A</v>
      </c>
      <c r="T33" s="1305" t="s">
        <v>5</v>
      </c>
      <c r="U33" s="1306" t="e">
        <f t="shared" si="10"/>
        <v>#N/A</v>
      </c>
      <c r="V33" s="1305" t="s">
        <v>5</v>
      </c>
      <c r="W33" s="1306" t="e">
        <f t="shared" si="11"/>
        <v>#N/A</v>
      </c>
      <c r="X33" s="1300"/>
      <c r="Y33" s="3733"/>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33"/>
      <c r="Q34" s="815" t="str">
        <f t="shared" si="8"/>
        <v>物业管理</v>
      </c>
      <c r="R34" s="1301" t="s">
        <v>5</v>
      </c>
      <c r="S34" s="1302">
        <f t="shared" si="9"/>
        <v>100</v>
      </c>
      <c r="T34" s="1301" t="s">
        <v>5</v>
      </c>
      <c r="U34" s="1302">
        <f t="shared" si="10"/>
        <v>100</v>
      </c>
      <c r="V34" s="1301" t="s">
        <v>5</v>
      </c>
      <c r="W34" s="1302">
        <f t="shared" si="11"/>
        <v>100</v>
      </c>
      <c r="X34" s="1303"/>
      <c r="Y34" s="3733"/>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33" t="s">
        <v>499</v>
      </c>
      <c r="Q35" s="1304" t="str">
        <f t="shared" si="8"/>
        <v>市政基础设施</v>
      </c>
      <c r="R35" s="1305" t="s">
        <v>5</v>
      </c>
      <c r="S35" s="1306">
        <f t="shared" si="9"/>
        <v>100</v>
      </c>
      <c r="T35" s="1305" t="s">
        <v>5</v>
      </c>
      <c r="U35" s="1306">
        <f t="shared" si="10"/>
        <v>100</v>
      </c>
      <c r="V35" s="1305" t="s">
        <v>5</v>
      </c>
      <c r="W35" s="1306">
        <f t="shared" si="11"/>
        <v>100</v>
      </c>
      <c r="X35" s="1300"/>
      <c r="Y35" s="3733"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33"/>
      <c r="Q36" s="1304" t="str">
        <f t="shared" si="8"/>
        <v>内部装修</v>
      </c>
      <c r="R36" s="1305" t="s">
        <v>5</v>
      </c>
      <c r="S36" s="1306">
        <f t="shared" si="9"/>
        <v>100</v>
      </c>
      <c r="T36" s="1305" t="s">
        <v>5</v>
      </c>
      <c r="U36" s="1306">
        <f t="shared" si="10"/>
        <v>100</v>
      </c>
      <c r="V36" s="1305" t="s">
        <v>5</v>
      </c>
      <c r="W36" s="1306">
        <f t="shared" si="11"/>
        <v>100</v>
      </c>
      <c r="X36" s="1300"/>
      <c r="Y36" s="3733"/>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33"/>
      <c r="Q37" s="1304" t="str">
        <f t="shared" si="8"/>
        <v>内部装修状况</v>
      </c>
      <c r="R37" s="1305" t="s">
        <v>5</v>
      </c>
      <c r="S37" s="1306">
        <f t="shared" si="9"/>
        <v>100</v>
      </c>
      <c r="T37" s="1305" t="s">
        <v>5</v>
      </c>
      <c r="U37" s="1306">
        <f t="shared" si="10"/>
        <v>100</v>
      </c>
      <c r="V37" s="1305" t="s">
        <v>5</v>
      </c>
      <c r="W37" s="1306">
        <f t="shared" si="11"/>
        <v>100</v>
      </c>
      <c r="X37" s="1300"/>
      <c r="Y37" s="3733"/>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33"/>
      <c r="Q38" s="816">
        <f t="shared" si="8"/>
        <v>111</v>
      </c>
      <c r="R38" s="1308" t="s">
        <v>5</v>
      </c>
      <c r="S38" s="1309">
        <f t="shared" si="9"/>
        <v>100</v>
      </c>
      <c r="T38" s="1308" t="s">
        <v>5</v>
      </c>
      <c r="U38" s="1309">
        <f t="shared" si="10"/>
        <v>100</v>
      </c>
      <c r="V38" s="1308" t="s">
        <v>5</v>
      </c>
      <c r="W38" s="1309">
        <f t="shared" si="11"/>
        <v>100</v>
      </c>
      <c r="X38" s="1310"/>
      <c r="Y38" s="3733"/>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33"/>
      <c r="Q39" s="1304">
        <f t="shared" si="8"/>
        <v>111</v>
      </c>
      <c r="R39" s="1305" t="s">
        <v>5</v>
      </c>
      <c r="S39" s="1306">
        <f t="shared" si="9"/>
        <v>100</v>
      </c>
      <c r="T39" s="1305" t="s">
        <v>5</v>
      </c>
      <c r="U39" s="1306">
        <f t="shared" si="10"/>
        <v>100</v>
      </c>
      <c r="V39" s="1305" t="s">
        <v>5</v>
      </c>
      <c r="W39" s="1306">
        <f t="shared" si="11"/>
        <v>100</v>
      </c>
      <c r="X39" s="1300"/>
      <c r="Y39" s="3733"/>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18"/>
      <c r="Q40" s="1304">
        <f t="shared" si="8"/>
        <v>111</v>
      </c>
      <c r="R40" s="1305" t="s">
        <v>5</v>
      </c>
      <c r="S40" s="1306">
        <f t="shared" si="9"/>
        <v>100</v>
      </c>
      <c r="T40" s="1305" t="s">
        <v>5</v>
      </c>
      <c r="U40" s="1306">
        <f t="shared" si="10"/>
        <v>100</v>
      </c>
      <c r="V40" s="1305" t="s">
        <v>5</v>
      </c>
      <c r="W40" s="1306">
        <f t="shared" si="11"/>
        <v>100</v>
      </c>
      <c r="X40" s="1300"/>
      <c r="Y40" s="3818"/>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28" t="str">
        <f>A41</f>
        <v>成交单价（元/平方米）</v>
      </c>
      <c r="Q41" s="3728"/>
      <c r="R41" s="3744">
        <f>E41</f>
        <v>0</v>
      </c>
      <c r="S41" s="3744"/>
      <c r="T41" s="3744">
        <f>G41</f>
        <v>0</v>
      </c>
      <c r="U41" s="3744"/>
      <c r="V41" s="3744">
        <f>I41</f>
        <v>0</v>
      </c>
      <c r="W41" s="3744"/>
      <c r="X41" s="798"/>
      <c r="Y41" s="1312"/>
      <c r="Z41" s="798"/>
      <c r="AA41" s="798"/>
      <c r="AB41" s="798"/>
      <c r="AC41" s="798"/>
    </row>
    <row r="42" spans="1:29" ht="15.75" thickBot="1">
      <c r="A42" s="563" t="s">
        <v>2042</v>
      </c>
      <c r="B42" s="810"/>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728" t="str">
        <f>A42</f>
        <v>比较价格（元/平方米）</v>
      </c>
      <c r="Q42" s="3728"/>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798"/>
      <c r="Y42" s="798"/>
      <c r="Z42" s="798"/>
      <c r="AA42" s="798"/>
      <c r="AB42" s="798"/>
      <c r="AC42" s="798"/>
    </row>
    <row r="43" spans="1:29" ht="15.75" thickBot="1">
      <c r="A43" s="567" t="s">
        <v>2189</v>
      </c>
      <c r="B43" s="568"/>
      <c r="C43" s="468" t="e">
        <f>R43</f>
        <v>#DIV/0!</v>
      </c>
      <c r="D43" s="468"/>
      <c r="E43" s="468"/>
      <c r="F43" s="468"/>
      <c r="G43" s="468"/>
      <c r="H43" s="468"/>
      <c r="I43" s="468"/>
      <c r="J43" s="468"/>
      <c r="K43" s="1334"/>
      <c r="L43" s="1749"/>
      <c r="M43" s="1740"/>
      <c r="N43" s="1740"/>
      <c r="O43" s="1740"/>
      <c r="P43" s="3734" t="str">
        <f>A43</f>
        <v>估价对象XX用房的比较价格（楼面单价，元/平方米）</v>
      </c>
      <c r="Q43" s="3735"/>
      <c r="R43" s="3817" t="e">
        <f>IF(F1="售价",ROUND(IF(D42="简单平均",AVERAGE(R42:V42),R42*F42+T42*H42+V42*J42),0),ROUND(IF(D42="简单平均",AVERAGE(R42:V42),R42*F42+T42*H42+V42*J42),1))</f>
        <v>#DIV/0!</v>
      </c>
      <c r="S43" s="3817"/>
      <c r="T43" s="3817"/>
      <c r="U43" s="3817"/>
      <c r="V43" s="3817"/>
      <c r="W43" s="3817"/>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115" zoomScaleNormal="60" zoomScaleSheetLayoutView="115" workbookViewId="0">
      <selection activeCell="G5" sqref="G5:H5"/>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2732</v>
      </c>
      <c r="C1" s="454" t="s">
        <v>732</v>
      </c>
      <c r="D1" s="782" t="s">
        <v>3732</v>
      </c>
      <c r="E1" s="456"/>
      <c r="F1" s="2116" t="s">
        <v>3729</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7921</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3496.29</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6" t="s">
        <v>738</v>
      </c>
      <c r="D4" s="3737"/>
      <c r="E4" s="3763" t="s">
        <v>739</v>
      </c>
      <c r="F4" s="3764"/>
      <c r="G4" s="3736" t="s">
        <v>740</v>
      </c>
      <c r="H4" s="3737"/>
      <c r="I4" s="3736" t="s">
        <v>741</v>
      </c>
      <c r="J4" s="3737"/>
      <c r="K4" s="464" t="s">
        <v>742</v>
      </c>
      <c r="L4" s="1739"/>
      <c r="M4" s="1740"/>
      <c r="N4" s="1740"/>
      <c r="O4" s="1740"/>
      <c r="P4" s="3738" t="s">
        <v>743</v>
      </c>
      <c r="Q4" s="3739"/>
      <c r="R4" s="3722" t="s">
        <v>739</v>
      </c>
      <c r="S4" s="3723"/>
      <c r="T4" s="3722" t="s">
        <v>740</v>
      </c>
      <c r="U4" s="3723"/>
      <c r="V4" s="3744" t="s">
        <v>741</v>
      </c>
      <c r="W4" s="3744"/>
      <c r="X4" s="1300"/>
      <c r="Y4" s="3722" t="s">
        <v>743</v>
      </c>
      <c r="Z4" s="3723"/>
      <c r="AA4" s="3717" t="s">
        <v>739</v>
      </c>
      <c r="AB4" s="3718" t="s">
        <v>740</v>
      </c>
      <c r="AC4" s="3717" t="s">
        <v>741</v>
      </c>
    </row>
    <row r="5" spans="1:29" ht="15">
      <c r="A5" s="465"/>
      <c r="B5" s="466"/>
      <c r="C5" s="3747" t="s">
        <v>2183</v>
      </c>
      <c r="D5" s="3748"/>
      <c r="E5" s="3851" t="s">
        <v>3736</v>
      </c>
      <c r="F5" s="3766"/>
      <c r="G5" s="3852" t="s">
        <v>3741</v>
      </c>
      <c r="H5" s="3748"/>
      <c r="I5" s="3852" t="s">
        <v>3740</v>
      </c>
      <c r="J5" s="3748"/>
      <c r="K5" s="464"/>
      <c r="L5" s="1739"/>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67" t="s">
        <v>3734</v>
      </c>
      <c r="F6" s="3768"/>
      <c r="G6" s="3745" t="s">
        <v>3734</v>
      </c>
      <c r="H6" s="3746"/>
      <c r="I6" s="3745" t="s">
        <v>3734</v>
      </c>
      <c r="J6" s="3746"/>
      <c r="K6" s="464"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20" t="s">
        <v>479</v>
      </c>
      <c r="Q7" s="3729"/>
      <c r="R7" s="1301" t="s">
        <v>5</v>
      </c>
      <c r="S7" s="1302">
        <f t="shared" ref="S7:S14" si="0">F7</f>
        <v>100</v>
      </c>
      <c r="T7" s="1301" t="s">
        <v>5</v>
      </c>
      <c r="U7" s="1302">
        <f t="shared" ref="U7:U14" si="1">H7</f>
        <v>100</v>
      </c>
      <c r="V7" s="1301" t="s">
        <v>5</v>
      </c>
      <c r="W7" s="1302">
        <f t="shared" ref="W7:W14" si="2">J7</f>
        <v>100</v>
      </c>
      <c r="X7" s="1303"/>
      <c r="Y7" s="3720" t="s">
        <v>479</v>
      </c>
      <c r="Z7" s="3721"/>
      <c r="AA7" s="994">
        <f>D7/F7</f>
        <v>1</v>
      </c>
      <c r="AB7" s="994">
        <f>D7/H7</f>
        <v>1</v>
      </c>
      <c r="AC7" s="994">
        <f>D7/J7</f>
        <v>1</v>
      </c>
    </row>
    <row r="8" spans="1:29" s="1057" customFormat="1" ht="15.75" thickBot="1">
      <c r="A8" s="2208"/>
      <c r="B8" s="2215"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20" t="s">
        <v>482</v>
      </c>
      <c r="Q8" s="3721"/>
      <c r="R8" s="1301" t="s">
        <v>5</v>
      </c>
      <c r="S8" s="1302">
        <f t="shared" si="0"/>
        <v>100</v>
      </c>
      <c r="T8" s="1301" t="s">
        <v>5</v>
      </c>
      <c r="U8" s="1302">
        <f t="shared" si="1"/>
        <v>100</v>
      </c>
      <c r="V8" s="1301" t="s">
        <v>5</v>
      </c>
      <c r="W8" s="1302">
        <f t="shared" si="2"/>
        <v>100</v>
      </c>
      <c r="X8" s="1303"/>
      <c r="Y8" s="3720" t="s">
        <v>482</v>
      </c>
      <c r="Z8" s="3721"/>
      <c r="AA8" s="994">
        <f t="shared" ref="AA8:AA34" si="3">D8/F8</f>
        <v>1</v>
      </c>
      <c r="AB8" s="994">
        <f t="shared" ref="AB8:AB34" si="4">D8/H8</f>
        <v>1</v>
      </c>
      <c r="AC8" s="994">
        <f t="shared" ref="AC8:AC34" si="5">D8/J8</f>
        <v>1</v>
      </c>
    </row>
    <row r="9" spans="1:29" s="1057" customFormat="1" ht="15">
      <c r="A9" s="2209"/>
      <c r="B9" s="2216" t="s">
        <v>2038</v>
      </c>
      <c r="C9" s="3518" t="s">
        <v>3735</v>
      </c>
      <c r="D9" s="153">
        <v>100</v>
      </c>
      <c r="E9" s="792" t="s">
        <v>2732</v>
      </c>
      <c r="F9" s="153">
        <f>SUMIF(51:51,E9,52:52)-SUMIF(51:51,C9,52:52)+100</f>
        <v>100</v>
      </c>
      <c r="G9" s="792" t="s">
        <v>2732</v>
      </c>
      <c r="H9" s="153">
        <f>SUMIF(51:51,G9,52:52)-SUMIF(51:51,C9,52:52)+100</f>
        <v>100</v>
      </c>
      <c r="I9" s="792" t="s">
        <v>2732</v>
      </c>
      <c r="J9" s="153">
        <f>SUMIF(51:51,I9,52:52)-SUMIF(51:51,C9,52:52)+100</f>
        <v>100</v>
      </c>
      <c r="K9" s="87"/>
      <c r="L9" s="1741"/>
      <c r="M9" s="1638"/>
      <c r="N9" s="1638"/>
      <c r="O9" s="1742"/>
      <c r="P9" s="3728" t="s">
        <v>484</v>
      </c>
      <c r="Q9" s="815" t="str">
        <f t="shared" ref="Q9:Q14" si="6">B9</f>
        <v>用途</v>
      </c>
      <c r="R9" s="1301" t="s">
        <v>5</v>
      </c>
      <c r="S9" s="1302">
        <f t="shared" si="0"/>
        <v>100</v>
      </c>
      <c r="T9" s="1301" t="s">
        <v>5</v>
      </c>
      <c r="U9" s="1302">
        <f t="shared" si="1"/>
        <v>100</v>
      </c>
      <c r="V9" s="1301" t="s">
        <v>5</v>
      </c>
      <c r="W9" s="1302">
        <f t="shared" si="2"/>
        <v>100</v>
      </c>
      <c r="X9" s="1303"/>
      <c r="Y9" s="3680"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28"/>
      <c r="Q11" s="815">
        <f t="shared" si="6"/>
        <v>111</v>
      </c>
      <c r="R11" s="1301" t="s">
        <v>5</v>
      </c>
      <c r="S11" s="1302">
        <f t="shared" si="0"/>
        <v>100</v>
      </c>
      <c r="T11" s="1301" t="s">
        <v>5</v>
      </c>
      <c r="U11" s="1302">
        <f t="shared" si="1"/>
        <v>100</v>
      </c>
      <c r="V11" s="1301" t="s">
        <v>5</v>
      </c>
      <c r="W11" s="1302">
        <f t="shared" si="2"/>
        <v>100</v>
      </c>
      <c r="X11" s="1303"/>
      <c r="Y11" s="3680"/>
      <c r="Z11" s="994">
        <f t="shared" si="7"/>
        <v>111</v>
      </c>
      <c r="AA11" s="994">
        <f t="shared" si="3"/>
        <v>1</v>
      </c>
      <c r="AB11" s="994">
        <f t="shared" si="4"/>
        <v>1</v>
      </c>
      <c r="AC11" s="994">
        <f t="shared" si="5"/>
        <v>1</v>
      </c>
    </row>
    <row r="12" spans="1:29" s="1057"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85.5">
      <c r="A14" s="2205"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30" t="s">
        <v>489</v>
      </c>
      <c r="Q14" s="1304" t="str">
        <f t="shared" si="6"/>
        <v>交通便捷度</v>
      </c>
      <c r="R14" s="1305" t="s">
        <v>5</v>
      </c>
      <c r="S14" s="1306">
        <f t="shared" si="0"/>
        <v>97</v>
      </c>
      <c r="T14" s="1305" t="s">
        <v>5</v>
      </c>
      <c r="U14" s="1306">
        <f t="shared" si="1"/>
        <v>97</v>
      </c>
      <c r="V14" s="1305" t="s">
        <v>5</v>
      </c>
      <c r="W14" s="1306">
        <f t="shared" si="2"/>
        <v>97</v>
      </c>
      <c r="X14" s="1300"/>
      <c r="Y14" s="3730"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3685</v>
      </c>
      <c r="D15" s="504"/>
      <c r="E15" s="525" t="s">
        <v>3686</v>
      </c>
      <c r="F15" s="506"/>
      <c r="G15" s="525" t="s">
        <v>3686</v>
      </c>
      <c r="H15" s="508"/>
      <c r="I15" s="525" t="s">
        <v>3686</v>
      </c>
      <c r="J15" s="504"/>
      <c r="K15" s="820"/>
      <c r="L15" s="1747"/>
      <c r="M15" s="1740"/>
      <c r="N15" s="1740"/>
      <c r="O15" s="1746"/>
      <c r="P15" s="3731"/>
      <c r="Q15" s="1304"/>
      <c r="R15" s="1305"/>
      <c r="S15" s="1306"/>
      <c r="T15" s="1305"/>
      <c r="U15" s="1306"/>
      <c r="V15" s="1305"/>
      <c r="W15" s="1306"/>
      <c r="X15" s="1300"/>
      <c r="Y15" s="3731"/>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31"/>
      <c r="Q16" s="1304" t="str">
        <f>B16</f>
        <v>公共配套设施</v>
      </c>
      <c r="R16" s="1305" t="s">
        <v>5</v>
      </c>
      <c r="S16" s="1306">
        <f>F16</f>
        <v>100</v>
      </c>
      <c r="T16" s="1305" t="s">
        <v>5</v>
      </c>
      <c r="U16" s="1306">
        <f>H16</f>
        <v>100</v>
      </c>
      <c r="V16" s="1305" t="s">
        <v>5</v>
      </c>
      <c r="W16" s="1306">
        <f>J16</f>
        <v>100</v>
      </c>
      <c r="X16" s="1300"/>
      <c r="Y16" s="3731"/>
      <c r="Z16" s="1307" t="str">
        <f>Q16</f>
        <v>公共配套设施</v>
      </c>
      <c r="AA16" s="1307">
        <f t="shared" si="3"/>
        <v>1</v>
      </c>
      <c r="AB16" s="1307">
        <f t="shared" si="4"/>
        <v>1</v>
      </c>
      <c r="AC16" s="1307">
        <f t="shared" si="5"/>
        <v>1</v>
      </c>
    </row>
    <row r="17" spans="1:29" ht="15">
      <c r="A17" s="481"/>
      <c r="B17" s="515"/>
      <c r="C17" s="801" t="s">
        <v>3686</v>
      </c>
      <c r="D17" s="504"/>
      <c r="E17" s="525" t="s">
        <v>3686</v>
      </c>
      <c r="F17" s="506"/>
      <c r="G17" s="525" t="s">
        <v>3686</v>
      </c>
      <c r="H17" s="504"/>
      <c r="I17" s="525" t="s">
        <v>3686</v>
      </c>
      <c r="J17" s="504"/>
      <c r="K17" s="820"/>
      <c r="L17" s="1747"/>
      <c r="M17" s="1740"/>
      <c r="N17" s="1740"/>
      <c r="O17" s="1746"/>
      <c r="P17" s="3731"/>
      <c r="Q17" s="1304"/>
      <c r="R17" s="1305"/>
      <c r="S17" s="1306"/>
      <c r="T17" s="1305"/>
      <c r="U17" s="1306"/>
      <c r="V17" s="1305"/>
      <c r="W17" s="1306"/>
      <c r="X17" s="1300"/>
      <c r="Y17" s="3731"/>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31"/>
      <c r="Q18" s="1304" t="str">
        <f>B18</f>
        <v>基础设施水平</v>
      </c>
      <c r="R18" s="1305" t="s">
        <v>5</v>
      </c>
      <c r="S18" s="1306">
        <f>F18</f>
        <v>100</v>
      </c>
      <c r="T18" s="1305" t="s">
        <v>5</v>
      </c>
      <c r="U18" s="1306">
        <f>H18</f>
        <v>100</v>
      </c>
      <c r="V18" s="1305" t="s">
        <v>5</v>
      </c>
      <c r="W18" s="1306">
        <f>J18</f>
        <v>100</v>
      </c>
      <c r="X18" s="1300"/>
      <c r="Y18" s="3731"/>
      <c r="Z18" s="1307" t="str">
        <f>Q18</f>
        <v>基础设施水平</v>
      </c>
      <c r="AA18" s="1307">
        <f>D18/F18</f>
        <v>1</v>
      </c>
      <c r="AB18" s="1307">
        <f>D18/H18</f>
        <v>1</v>
      </c>
      <c r="AC18" s="1307">
        <f>D18/J18</f>
        <v>1</v>
      </c>
    </row>
    <row r="19" spans="1:29" ht="15">
      <c r="A19" s="481"/>
      <c r="B19" s="527"/>
      <c r="C19" s="801" t="s">
        <v>3679</v>
      </c>
      <c r="D19" s="508"/>
      <c r="E19" s="801" t="s">
        <v>3679</v>
      </c>
      <c r="F19" s="512"/>
      <c r="G19" s="801" t="s">
        <v>3679</v>
      </c>
      <c r="H19" s="504"/>
      <c r="I19" s="801" t="s">
        <v>3679</v>
      </c>
      <c r="J19" s="504"/>
      <c r="K19" s="2059"/>
      <c r="L19" s="1747"/>
      <c r="M19" s="1740"/>
      <c r="N19" s="1740"/>
      <c r="O19" s="1746"/>
      <c r="P19" s="3731"/>
      <c r="Q19" s="1304"/>
      <c r="R19" s="1305"/>
      <c r="S19" s="1306"/>
      <c r="T19" s="1305"/>
      <c r="U19" s="1306"/>
      <c r="V19" s="1305"/>
      <c r="W19" s="1306"/>
      <c r="X19" s="1300"/>
      <c r="Y19" s="3731"/>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31"/>
      <c r="Q20" s="1304" t="str">
        <f>B20</f>
        <v>自然及人文环境</v>
      </c>
      <c r="R20" s="1305" t="s">
        <v>5</v>
      </c>
      <c r="S20" s="1306">
        <f>F20</f>
        <v>100</v>
      </c>
      <c r="T20" s="1305" t="s">
        <v>5</v>
      </c>
      <c r="U20" s="1306">
        <f>H20</f>
        <v>100</v>
      </c>
      <c r="V20" s="1305" t="s">
        <v>5</v>
      </c>
      <c r="W20" s="1306">
        <f>J20</f>
        <v>100</v>
      </c>
      <c r="X20" s="1300"/>
      <c r="Y20" s="3731"/>
      <c r="Z20" s="1307" t="str">
        <f>Q20</f>
        <v>自然及人文环境</v>
      </c>
      <c r="AA20" s="1307">
        <f t="shared" si="3"/>
        <v>1</v>
      </c>
      <c r="AB20" s="1307">
        <f t="shared" si="4"/>
        <v>1</v>
      </c>
      <c r="AC20" s="1307">
        <f t="shared" si="5"/>
        <v>1</v>
      </c>
    </row>
    <row r="21" spans="1:29" ht="15">
      <c r="A21" s="481"/>
      <c r="B21" s="543"/>
      <c r="C21" s="525" t="s">
        <v>3686</v>
      </c>
      <c r="D21" s="504"/>
      <c r="E21" s="525" t="s">
        <v>3686</v>
      </c>
      <c r="F21" s="506"/>
      <c r="G21" s="525" t="s">
        <v>3686</v>
      </c>
      <c r="H21" s="504"/>
      <c r="I21" s="525" t="s">
        <v>3686</v>
      </c>
      <c r="J21" s="504"/>
      <c r="K21" s="820"/>
      <c r="L21" s="1747"/>
      <c r="M21" s="1740"/>
      <c r="N21" s="1740"/>
      <c r="O21" s="1746"/>
      <c r="P21" s="3731"/>
      <c r="Q21" s="1304"/>
      <c r="R21" s="1305"/>
      <c r="S21" s="1306"/>
      <c r="T21" s="1305"/>
      <c r="U21" s="1306"/>
      <c r="V21" s="1305"/>
      <c r="W21" s="1306"/>
      <c r="X21" s="1300"/>
      <c r="Y21" s="3731"/>
      <c r="Z21" s="1307"/>
      <c r="AA21" s="1307">
        <v>1</v>
      </c>
      <c r="AB21" s="1307">
        <v>1</v>
      </c>
      <c r="AC21" s="1307">
        <v>1</v>
      </c>
    </row>
    <row r="22" spans="1:29" ht="15">
      <c r="A22" s="481"/>
      <c r="B22" s="676" t="s">
        <v>745</v>
      </c>
      <c r="C22" s="531" t="s">
        <v>3707</v>
      </c>
      <c r="D22" s="508">
        <v>100</v>
      </c>
      <c r="E22" s="531" t="s">
        <v>3707</v>
      </c>
      <c r="F22" s="524">
        <f>SUMIF(69:69,E22,70:70)-SUMIF(69:69,C22,70:70)+100</f>
        <v>100</v>
      </c>
      <c r="G22" s="531" t="s">
        <v>3707</v>
      </c>
      <c r="H22" s="489">
        <f>SUMIF(69:69,G22,70:70)-SUMIF(69:69,C22,70:70)+100</f>
        <v>100</v>
      </c>
      <c r="I22" s="531" t="s">
        <v>3707</v>
      </c>
      <c r="J22" s="489">
        <f>SUMIF(69:69,I22,70:70)-SUMIF(69:69,C22,70:70)+100</f>
        <v>100</v>
      </c>
      <c r="K22" s="532"/>
      <c r="L22" s="1747"/>
      <c r="M22" s="1740"/>
      <c r="N22" s="1740"/>
      <c r="O22" s="1746"/>
      <c r="P22" s="3731"/>
      <c r="Q22" s="1304" t="str">
        <f>B22</f>
        <v>楼层</v>
      </c>
      <c r="R22" s="1305" t="s">
        <v>5</v>
      </c>
      <c r="S22" s="1306">
        <f>F22</f>
        <v>100</v>
      </c>
      <c r="T22" s="1305" t="s">
        <v>5</v>
      </c>
      <c r="U22" s="1306">
        <f>H22</f>
        <v>100</v>
      </c>
      <c r="V22" s="1305" t="s">
        <v>5</v>
      </c>
      <c r="W22" s="1306">
        <f>J22</f>
        <v>100</v>
      </c>
      <c r="X22" s="1300"/>
      <c r="Y22" s="3731"/>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31"/>
      <c r="Q23" s="1304">
        <f>B23</f>
        <v>111</v>
      </c>
      <c r="R23" s="1305" t="s">
        <v>5</v>
      </c>
      <c r="S23" s="1306">
        <f>F23</f>
        <v>100</v>
      </c>
      <c r="T23" s="1305" t="s">
        <v>5</v>
      </c>
      <c r="U23" s="1306">
        <f>H23</f>
        <v>100</v>
      </c>
      <c r="V23" s="1305" t="s">
        <v>5</v>
      </c>
      <c r="W23" s="1306">
        <f>J23</f>
        <v>100</v>
      </c>
      <c r="X23" s="1300"/>
      <c r="Y23" s="3731"/>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31"/>
      <c r="Q24" s="1304">
        <f t="shared" ref="Q24:Q34" si="8">B24</f>
        <v>111</v>
      </c>
      <c r="R24" s="1305" t="s">
        <v>5</v>
      </c>
      <c r="S24" s="1306">
        <f>F24</f>
        <v>100</v>
      </c>
      <c r="T24" s="1305" t="s">
        <v>5</v>
      </c>
      <c r="U24" s="1306">
        <f>H24</f>
        <v>100</v>
      </c>
      <c r="V24" s="1305" t="s">
        <v>5</v>
      </c>
      <c r="W24" s="1306">
        <f>J24</f>
        <v>100</v>
      </c>
      <c r="X24" s="1300"/>
      <c r="Y24" s="3731"/>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31"/>
      <c r="Q25" s="815">
        <f t="shared" si="8"/>
        <v>111</v>
      </c>
      <c r="R25" s="1301" t="s">
        <v>5</v>
      </c>
      <c r="S25" s="1302">
        <f>F25</f>
        <v>100</v>
      </c>
      <c r="T25" s="1301" t="s">
        <v>5</v>
      </c>
      <c r="U25" s="1302">
        <f>H25</f>
        <v>100</v>
      </c>
      <c r="V25" s="1301" t="s">
        <v>5</v>
      </c>
      <c r="W25" s="1302">
        <f>J25</f>
        <v>100</v>
      </c>
      <c r="X25" s="1303"/>
      <c r="Y25" s="3731"/>
      <c r="Z25" s="994">
        <f>Q25</f>
        <v>111</v>
      </c>
      <c r="AA25" s="1307">
        <f>D25/F25</f>
        <v>1</v>
      </c>
      <c r="AB25" s="1307">
        <f>D25/H25</f>
        <v>1</v>
      </c>
      <c r="AC25" s="1307">
        <f>D25/J25</f>
        <v>1</v>
      </c>
    </row>
    <row r="26" spans="1:29" ht="15">
      <c r="A26" s="2202" t="s">
        <v>2037</v>
      </c>
      <c r="B26" s="155" t="s">
        <v>748</v>
      </c>
      <c r="C26" s="803" t="s">
        <v>3719</v>
      </c>
      <c r="D26" s="545">
        <v>100</v>
      </c>
      <c r="E26" s="803" t="s">
        <v>3719</v>
      </c>
      <c r="F26" s="859">
        <f>SUMIF(77:77,E26,78:78)-SUMIF(77:77,C26,78:78)+100</f>
        <v>100</v>
      </c>
      <c r="G26" s="803" t="s">
        <v>3719</v>
      </c>
      <c r="H26" s="545">
        <f>SUMIF(77:77,G26,78:78)-SUMIF(77:77,C26,78:78)+100</f>
        <v>100</v>
      </c>
      <c r="I26" s="803" t="s">
        <v>3719</v>
      </c>
      <c r="J26" s="545">
        <f>SUMIF(77:77,I26,78:78)-SUMIF(77:77,C26,78:78)+100</f>
        <v>100</v>
      </c>
      <c r="K26" s="532">
        <v>2</v>
      </c>
      <c r="L26" s="1747"/>
      <c r="M26" s="1740"/>
      <c r="N26" s="1740"/>
      <c r="O26" s="1746"/>
      <c r="P26" s="3732"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33"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33"/>
      <c r="Q27" s="816" t="str">
        <f t="shared" si="8"/>
        <v>成新率</v>
      </c>
      <c r="R27" s="1308" t="s">
        <v>5</v>
      </c>
      <c r="S27" s="1309">
        <f t="shared" si="9"/>
        <v>100</v>
      </c>
      <c r="T27" s="1308" t="s">
        <v>5</v>
      </c>
      <c r="U27" s="1309">
        <f t="shared" si="10"/>
        <v>100</v>
      </c>
      <c r="V27" s="1308" t="s">
        <v>5</v>
      </c>
      <c r="W27" s="1309">
        <f t="shared" si="11"/>
        <v>100</v>
      </c>
      <c r="X27" s="1310"/>
      <c r="Y27" s="3733"/>
      <c r="Z27" s="1311" t="str">
        <f t="shared" si="12"/>
        <v>成新率</v>
      </c>
      <c r="AA27" s="1307">
        <f t="shared" si="3"/>
        <v>1</v>
      </c>
      <c r="AB27" s="1307">
        <f t="shared" si="4"/>
        <v>1</v>
      </c>
      <c r="AC27" s="1307">
        <f t="shared" si="5"/>
        <v>1</v>
      </c>
    </row>
    <row r="28" spans="1:29" ht="15">
      <c r="A28" s="542"/>
      <c r="B28" s="476" t="s">
        <v>750</v>
      </c>
      <c r="C28" s="523" t="s">
        <v>3720</v>
      </c>
      <c r="D28" s="489">
        <v>100</v>
      </c>
      <c r="E28" s="523" t="s">
        <v>3720</v>
      </c>
      <c r="F28" s="524">
        <f>SUMIF(82:82,E28,83:83)-SUMIF(82:82,C28,83:83)+100</f>
        <v>100</v>
      </c>
      <c r="G28" s="523" t="s">
        <v>3720</v>
      </c>
      <c r="H28" s="489">
        <f>SUMIF(82:82,G28,83:83)-SUMIF(82:82,C28,83:83)+100</f>
        <v>100</v>
      </c>
      <c r="I28" s="523" t="s">
        <v>3720</v>
      </c>
      <c r="J28" s="489">
        <f>SUMIF(82:82,I28,83:83)-SUMIF(82:82,C28,83:83)+100</f>
        <v>100</v>
      </c>
      <c r="K28" s="532">
        <v>2</v>
      </c>
      <c r="L28" s="1747"/>
      <c r="M28" s="1740"/>
      <c r="N28" s="1740"/>
      <c r="O28" s="1746"/>
      <c r="P28" s="3733"/>
      <c r="Q28" s="1304" t="str">
        <f t="shared" si="8"/>
        <v>物业等级</v>
      </c>
      <c r="R28" s="1305" t="s">
        <v>5</v>
      </c>
      <c r="S28" s="1306">
        <f t="shared" si="9"/>
        <v>100</v>
      </c>
      <c r="T28" s="1305" t="s">
        <v>5</v>
      </c>
      <c r="U28" s="1306">
        <f t="shared" si="10"/>
        <v>100</v>
      </c>
      <c r="V28" s="1305" t="s">
        <v>5</v>
      </c>
      <c r="W28" s="1306">
        <f t="shared" si="11"/>
        <v>100</v>
      </c>
      <c r="X28" s="1300"/>
      <c r="Y28" s="3733"/>
      <c r="Z28" s="1307" t="str">
        <f t="shared" si="12"/>
        <v>物业等级</v>
      </c>
      <c r="AA28" s="1307">
        <f t="shared" si="3"/>
        <v>1</v>
      </c>
      <c r="AB28" s="1307">
        <f t="shared" si="4"/>
        <v>1</v>
      </c>
      <c r="AC28" s="1307">
        <f t="shared" si="5"/>
        <v>1</v>
      </c>
    </row>
    <row r="29" spans="1:29" ht="15">
      <c r="A29" s="542"/>
      <c r="B29" s="476" t="s">
        <v>762</v>
      </c>
      <c r="C29" s="850" t="s">
        <v>3738</v>
      </c>
      <c r="D29" s="489">
        <v>100</v>
      </c>
      <c r="E29" s="850" t="s">
        <v>3738</v>
      </c>
      <c r="F29" s="524">
        <f>SUMIF(84:84,E29,85:85)-SUMIF(84:84,C29,85:85)+100</f>
        <v>100</v>
      </c>
      <c r="G29" s="850" t="s">
        <v>3738</v>
      </c>
      <c r="H29" s="489">
        <f>SUMIF(84:84,G29,85:85)-SUMIF(84:84,C29,85:85)+100</f>
        <v>100</v>
      </c>
      <c r="I29" s="850" t="s">
        <v>3738</v>
      </c>
      <c r="J29" s="489">
        <f>SUMIF(84:84,I29,85:85)-SUMIF(84:84,C29,85:85)+100</f>
        <v>100</v>
      </c>
      <c r="K29" s="532">
        <v>2</v>
      </c>
      <c r="L29" s="1747"/>
      <c r="M29" s="1740"/>
      <c r="N29" s="1740"/>
      <c r="O29" s="1746"/>
      <c r="P29" s="3733"/>
      <c r="Q29" s="1304" t="str">
        <f t="shared" si="8"/>
        <v>有无电梯</v>
      </c>
      <c r="R29" s="1305" t="s">
        <v>5</v>
      </c>
      <c r="S29" s="1306">
        <f t="shared" si="9"/>
        <v>100</v>
      </c>
      <c r="T29" s="1305" t="s">
        <v>5</v>
      </c>
      <c r="U29" s="1306">
        <f t="shared" si="10"/>
        <v>100</v>
      </c>
      <c r="V29" s="1305" t="s">
        <v>5</v>
      </c>
      <c r="W29" s="1306">
        <f t="shared" si="11"/>
        <v>100</v>
      </c>
      <c r="X29" s="1300"/>
      <c r="Y29" s="3733"/>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33"/>
      <c r="Q30" s="1304" t="str">
        <f t="shared" si="8"/>
        <v>建筑面积</v>
      </c>
      <c r="R30" s="1305" t="s">
        <v>5</v>
      </c>
      <c r="S30" s="1306">
        <f t="shared" si="9"/>
        <v>100</v>
      </c>
      <c r="T30" s="1305" t="s">
        <v>5</v>
      </c>
      <c r="U30" s="1306">
        <f t="shared" si="10"/>
        <v>100</v>
      </c>
      <c r="V30" s="1305" t="s">
        <v>5</v>
      </c>
      <c r="W30" s="1306">
        <f t="shared" si="11"/>
        <v>100</v>
      </c>
      <c r="X30" s="1300"/>
      <c r="Y30" s="3733"/>
      <c r="Z30" s="1307" t="str">
        <f t="shared" si="12"/>
        <v>建筑面积</v>
      </c>
      <c r="AA30" s="1307">
        <f t="shared" si="3"/>
        <v>1</v>
      </c>
      <c r="AB30" s="1307">
        <f t="shared" si="4"/>
        <v>1</v>
      </c>
      <c r="AC30" s="1307">
        <f t="shared" si="5"/>
        <v>1</v>
      </c>
    </row>
    <row r="31" spans="1:29" s="1057" customFormat="1" ht="15">
      <c r="A31" s="548"/>
      <c r="B31" s="476" t="s">
        <v>764</v>
      </c>
      <c r="C31" s="850" t="s">
        <v>3708</v>
      </c>
      <c r="D31" s="234">
        <v>100</v>
      </c>
      <c r="E31" s="850" t="s">
        <v>3708</v>
      </c>
      <c r="F31" s="524">
        <f>SUMIF(89:89,E31,90:90)-SUMIF(89:89,C31,90:90)+100</f>
        <v>100</v>
      </c>
      <c r="G31" s="850" t="s">
        <v>3708</v>
      </c>
      <c r="H31" s="489">
        <f>SUMIF(89:89,G31,90:90)-SUMIF(89:89,C31,90:90)+100</f>
        <v>100</v>
      </c>
      <c r="I31" s="850" t="s">
        <v>3708</v>
      </c>
      <c r="J31" s="489">
        <f>SUMIF(89:89,I31,90:90)-SUMIF(89:89,C31,90:90)+100</f>
        <v>100</v>
      </c>
      <c r="K31" s="532">
        <v>2</v>
      </c>
      <c r="L31" s="1741"/>
      <c r="M31" s="1638"/>
      <c r="N31" s="1638"/>
      <c r="O31" s="1742"/>
      <c r="P31" s="3733"/>
      <c r="Q31" s="815" t="str">
        <f t="shared" si="8"/>
        <v>是否封闭</v>
      </c>
      <c r="R31" s="1301" t="s">
        <v>5</v>
      </c>
      <c r="S31" s="1302">
        <f t="shared" si="9"/>
        <v>100</v>
      </c>
      <c r="T31" s="1301" t="s">
        <v>5</v>
      </c>
      <c r="U31" s="1302">
        <f t="shared" si="10"/>
        <v>100</v>
      </c>
      <c r="V31" s="1301" t="s">
        <v>5</v>
      </c>
      <c r="W31" s="1302">
        <f t="shared" si="11"/>
        <v>100</v>
      </c>
      <c r="X31" s="1303"/>
      <c r="Y31" s="3733"/>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33" t="s">
        <v>499</v>
      </c>
      <c r="Q32" s="1304">
        <f t="shared" si="8"/>
        <v>111</v>
      </c>
      <c r="R32" s="1305" t="s">
        <v>5</v>
      </c>
      <c r="S32" s="1306">
        <f t="shared" si="9"/>
        <v>100</v>
      </c>
      <c r="T32" s="1305" t="s">
        <v>5</v>
      </c>
      <c r="U32" s="1306">
        <f t="shared" si="10"/>
        <v>100</v>
      </c>
      <c r="V32" s="1305" t="s">
        <v>5</v>
      </c>
      <c r="W32" s="1306">
        <f t="shared" si="11"/>
        <v>100</v>
      </c>
      <c r="X32" s="1300"/>
      <c r="Y32" s="3733"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33"/>
      <c r="Q33" s="1304">
        <f t="shared" si="8"/>
        <v>111</v>
      </c>
      <c r="R33" s="1305" t="s">
        <v>5</v>
      </c>
      <c r="S33" s="1306">
        <f t="shared" si="9"/>
        <v>100</v>
      </c>
      <c r="T33" s="1305" t="s">
        <v>5</v>
      </c>
      <c r="U33" s="1306">
        <f t="shared" si="10"/>
        <v>100</v>
      </c>
      <c r="V33" s="1305" t="s">
        <v>5</v>
      </c>
      <c r="W33" s="1306">
        <f t="shared" si="11"/>
        <v>100</v>
      </c>
      <c r="X33" s="1300"/>
      <c r="Y33" s="3733"/>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33"/>
      <c r="Q34" s="1304">
        <f t="shared" si="8"/>
        <v>111</v>
      </c>
      <c r="R34" s="1305" t="s">
        <v>5</v>
      </c>
      <c r="S34" s="1306">
        <f t="shared" si="9"/>
        <v>100</v>
      </c>
      <c r="T34" s="1305" t="s">
        <v>5</v>
      </c>
      <c r="U34" s="1306">
        <f t="shared" si="10"/>
        <v>100</v>
      </c>
      <c r="V34" s="1305" t="s">
        <v>5</v>
      </c>
      <c r="W34" s="1306">
        <f t="shared" si="11"/>
        <v>100</v>
      </c>
      <c r="X34" s="1300"/>
      <c r="Y34" s="3733"/>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28" t="str">
        <f>A35</f>
        <v>成交单价（元/平方米）</v>
      </c>
      <c r="Q35" s="3728"/>
      <c r="R35" s="3744">
        <f>E35</f>
        <v>22090</v>
      </c>
      <c r="S35" s="3744"/>
      <c r="T35" s="3744">
        <f>G35</f>
        <v>22040</v>
      </c>
      <c r="U35" s="3744"/>
      <c r="V35" s="3744">
        <f>I35</f>
        <v>21798</v>
      </c>
      <c r="W35" s="3744"/>
      <c r="X35" s="798"/>
      <c r="Y35" s="1312"/>
      <c r="Z35" s="798"/>
      <c r="AA35" s="798"/>
      <c r="AB35" s="798"/>
      <c r="AC35" s="798"/>
    </row>
    <row r="36" spans="1:29" ht="15.75" thickBot="1">
      <c r="A36" s="563" t="s">
        <v>2042</v>
      </c>
      <c r="B36" s="810"/>
      <c r="C36" s="2080">
        <f>R37</f>
        <v>22656</v>
      </c>
      <c r="D36" s="2548" t="s">
        <v>2252</v>
      </c>
      <c r="E36" s="2081">
        <f>R36</f>
        <v>22773</v>
      </c>
      <c r="F36" s="2549"/>
      <c r="G36" s="2080">
        <f>T36</f>
        <v>22722</v>
      </c>
      <c r="H36" s="2549"/>
      <c r="I36" s="2081">
        <f>V36</f>
        <v>22472</v>
      </c>
      <c r="J36" s="2549"/>
      <c r="K36" s="2556">
        <f>F36+H36+J36</f>
        <v>0</v>
      </c>
      <c r="L36" s="1749"/>
      <c r="M36" s="1740"/>
      <c r="N36" s="1740"/>
      <c r="O36" s="1740"/>
      <c r="P36" s="3728" t="str">
        <f>A36</f>
        <v>比较价格（元/平方米）</v>
      </c>
      <c r="Q36" s="3728"/>
      <c r="R36" s="3744">
        <f>IF(F1="售价",ROUND(PRODUCT(R35,AA7:AA34),0),ROUND(PRODUCT(R35,AA7:AA34),1))</f>
        <v>22773</v>
      </c>
      <c r="S36" s="3744"/>
      <c r="T36" s="3744">
        <f>IF(F1="售价",ROUND(PRODUCT(T35,AB7:AB34),0),ROUND(PRODUCT(T35,AB7:AB34),1))</f>
        <v>22722</v>
      </c>
      <c r="U36" s="3744"/>
      <c r="V36" s="3744">
        <f>IF(F1="售价",ROUND(PRODUCT(V35,AC7:AC34),0),ROUND(PRODUCT(V35,AC7:AC34),1))</f>
        <v>22472</v>
      </c>
      <c r="W36" s="3744"/>
      <c r="X36" s="798"/>
      <c r="Y36" s="798"/>
      <c r="Z36" s="798"/>
      <c r="AA36" s="798"/>
      <c r="AB36" s="798"/>
      <c r="AC36" s="798"/>
    </row>
    <row r="37" spans="1:29" ht="15.75" thickBot="1">
      <c r="A37" s="567" t="s">
        <v>2189</v>
      </c>
      <c r="B37" s="568"/>
      <c r="C37" s="468">
        <f>R37</f>
        <v>22656</v>
      </c>
      <c r="D37" s="468"/>
      <c r="E37" s="468"/>
      <c r="F37" s="468"/>
      <c r="G37" s="468"/>
      <c r="H37" s="468"/>
      <c r="I37" s="468"/>
      <c r="J37" s="468"/>
      <c r="K37" s="1334"/>
      <c r="L37" s="1749"/>
      <c r="M37" s="1740"/>
      <c r="N37" s="1740"/>
      <c r="O37" s="1740"/>
      <c r="P37" s="3734" t="str">
        <f>A37</f>
        <v>估价对象XX用房的比较价格（楼面单价，元/平方米）</v>
      </c>
      <c r="Q37" s="3735"/>
      <c r="R37" s="3817">
        <f>IF(F1="售价",ROUND(IF(D36="简单平均",AVERAGE(R36:W36),R36*F36+T36*H36+V36*J36),0),ROUND(IF(D36="简单平均",AVERAGE(R36:V36),R36*F36+T36*H36+V36*J36),1))</f>
        <v>22656</v>
      </c>
      <c r="S37" s="3817"/>
      <c r="T37" s="3817"/>
      <c r="U37" s="3817"/>
      <c r="V37" s="3817"/>
      <c r="W37" s="3817"/>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3" t="s">
        <v>3737</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3" t="s">
        <v>3739</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3" t="s">
        <v>3720</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3" t="s">
        <v>3738</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3" t="s">
        <v>3708</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6" t="s">
        <v>1661</v>
      </c>
      <c r="D1" s="3857"/>
      <c r="E1" s="3857"/>
      <c r="F1" s="3857"/>
      <c r="G1" s="3857"/>
      <c r="H1" s="3857"/>
      <c r="I1" s="3857"/>
      <c r="J1" s="3857"/>
      <c r="K1" s="3857"/>
      <c r="L1" s="3857"/>
      <c r="M1" s="3857"/>
      <c r="N1" s="3857"/>
      <c r="O1" s="3857"/>
      <c r="P1" s="3857"/>
      <c r="Q1" s="3857"/>
      <c r="R1" s="3857"/>
      <c r="S1" s="3858"/>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53" t="s">
        <v>14</v>
      </c>
      <c r="D22" s="3854"/>
      <c r="E22" s="3854"/>
      <c r="F22" s="3854"/>
      <c r="G22" s="3854"/>
      <c r="H22" s="3854"/>
      <c r="I22" s="3854"/>
      <c r="J22" s="3854"/>
      <c r="K22" s="3854"/>
      <c r="L22" s="3854"/>
      <c r="M22" s="3854"/>
      <c r="N22" s="3854"/>
      <c r="O22" s="3854"/>
      <c r="P22" s="3854"/>
      <c r="Q22" s="3855"/>
      <c r="R22" s="48" t="e">
        <f>ROUND(S22*10000/B22,0)</f>
        <v>#DIV/0!</v>
      </c>
      <c r="S22" s="48">
        <f>SUM(S24:S10000)</f>
        <v>0</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topLeftCell="A22" zoomScaleNormal="60" zoomScaleSheetLayoutView="100" workbookViewId="0">
      <selection activeCell="R37" sqref="R37:U3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3742</v>
      </c>
      <c r="E1" s="456"/>
      <c r="F1" s="2116" t="s">
        <v>3729</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9623</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6202</v>
      </c>
      <c r="C3" s="785" t="s">
        <v>736</v>
      </c>
      <c r="D3" s="784">
        <f>SUMIF('数据-汇总表'!$C19:$C33,D1,'数据-汇总表'!$E19:$E33)</f>
        <v>15515.510000000002</v>
      </c>
      <c r="E3" s="1535" t="s">
        <v>1594</v>
      </c>
      <c r="F3" s="784">
        <f>SUMIF('数据-取费表'!A5:A15,D1,'数据-取费表'!AH5:AH15)</f>
        <v>296</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6" t="s">
        <v>738</v>
      </c>
      <c r="D4" s="3737"/>
      <c r="E4" s="3736" t="s">
        <v>739</v>
      </c>
      <c r="F4" s="3737"/>
      <c r="G4" s="3736" t="s">
        <v>740</v>
      </c>
      <c r="H4" s="3737"/>
      <c r="I4" s="3736" t="s">
        <v>741</v>
      </c>
      <c r="J4" s="3737"/>
      <c r="K4" s="464" t="s">
        <v>742</v>
      </c>
      <c r="L4" s="1739"/>
      <c r="M4" s="1740"/>
      <c r="N4" s="1740"/>
      <c r="O4" s="1740"/>
      <c r="P4" s="3738" t="s">
        <v>743</v>
      </c>
      <c r="Q4" s="3739"/>
      <c r="R4" s="3722" t="s">
        <v>739</v>
      </c>
      <c r="S4" s="3723"/>
      <c r="T4" s="3722" t="s">
        <v>740</v>
      </c>
      <c r="U4" s="3723"/>
      <c r="V4" s="3744" t="s">
        <v>741</v>
      </c>
      <c r="W4" s="3744"/>
      <c r="X4" s="1300"/>
      <c r="Y4" s="3722" t="s">
        <v>743</v>
      </c>
      <c r="Z4" s="3723"/>
      <c r="AA4" s="3717" t="s">
        <v>739</v>
      </c>
      <c r="AB4" s="3718" t="s">
        <v>740</v>
      </c>
      <c r="AC4" s="3717" t="s">
        <v>741</v>
      </c>
    </row>
    <row r="5" spans="1:29" ht="15">
      <c r="A5" s="465"/>
      <c r="B5" s="466"/>
      <c r="C5" s="3747" t="s">
        <v>2183</v>
      </c>
      <c r="D5" s="3748"/>
      <c r="E5" s="3852" t="s">
        <v>3770</v>
      </c>
      <c r="F5" s="3748"/>
      <c r="G5" s="3747" t="s">
        <v>3771</v>
      </c>
      <c r="H5" s="3748"/>
      <c r="I5" s="3747" t="s">
        <v>3733</v>
      </c>
      <c r="J5" s="3748"/>
      <c r="K5" s="464"/>
      <c r="L5" s="1739"/>
      <c r="M5" s="1740"/>
      <c r="N5" s="1740"/>
      <c r="O5" s="1740"/>
      <c r="P5" s="3740"/>
      <c r="Q5" s="3741"/>
      <c r="R5" s="3724"/>
      <c r="S5" s="3725"/>
      <c r="T5" s="3724"/>
      <c r="U5" s="3725"/>
      <c r="V5" s="3744"/>
      <c r="W5" s="3744"/>
      <c r="X5" s="1300"/>
      <c r="Y5" s="3724"/>
      <c r="Z5" s="3725"/>
      <c r="AA5" s="3718"/>
      <c r="AB5" s="3718"/>
      <c r="AC5" s="3718"/>
    </row>
    <row r="6" spans="1:29" ht="15.75" thickBot="1">
      <c r="A6" s="467"/>
      <c r="B6" s="468"/>
      <c r="C6" s="3745" t="s">
        <v>2187</v>
      </c>
      <c r="D6" s="3746"/>
      <c r="E6" s="3750" t="s">
        <v>3734</v>
      </c>
      <c r="F6" s="3751"/>
      <c r="G6" s="3745" t="s">
        <v>3734</v>
      </c>
      <c r="H6" s="3746"/>
      <c r="I6" s="3745" t="s">
        <v>3734</v>
      </c>
      <c r="J6" s="3746"/>
      <c r="K6" s="464" t="s">
        <v>477</v>
      </c>
      <c r="L6" s="1739"/>
      <c r="M6" s="1740"/>
      <c r="N6" s="1740"/>
      <c r="O6" s="1740"/>
      <c r="P6" s="3742"/>
      <c r="Q6" s="3743"/>
      <c r="R6" s="3724"/>
      <c r="S6" s="3725"/>
      <c r="T6" s="3726"/>
      <c r="U6" s="3727"/>
      <c r="V6" s="3744"/>
      <c r="W6" s="3744"/>
      <c r="X6" s="1300"/>
      <c r="Y6" s="3726"/>
      <c r="Z6" s="3727"/>
      <c r="AA6" s="3719"/>
      <c r="AB6" s="3719"/>
      <c r="AC6" s="3719"/>
    </row>
    <row r="7" spans="1:29" s="1057" customFormat="1" ht="15.75" thickBot="1">
      <c r="A7" s="2207"/>
      <c r="B7" s="2214"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20" t="s">
        <v>479</v>
      </c>
      <c r="Q7" s="3729"/>
      <c r="R7" s="1301" t="s">
        <v>5</v>
      </c>
      <c r="S7" s="1302">
        <f t="shared" ref="S7:S14" si="0">F7</f>
        <v>100</v>
      </c>
      <c r="T7" s="1301" t="s">
        <v>5</v>
      </c>
      <c r="U7" s="1302">
        <f t="shared" ref="U7:U14" si="1">H7</f>
        <v>100</v>
      </c>
      <c r="V7" s="1301" t="s">
        <v>5</v>
      </c>
      <c r="W7" s="1302">
        <f t="shared" ref="W7:W14" si="2">J7</f>
        <v>100</v>
      </c>
      <c r="X7" s="1303"/>
      <c r="Y7" s="3720" t="s">
        <v>479</v>
      </c>
      <c r="Z7" s="3721"/>
      <c r="AA7" s="994">
        <f>D7/F7</f>
        <v>1</v>
      </c>
      <c r="AB7" s="994">
        <f>D7/H7</f>
        <v>1</v>
      </c>
      <c r="AC7" s="994">
        <f>D7/J7</f>
        <v>1</v>
      </c>
    </row>
    <row r="8" spans="1:29" s="1057" customFormat="1" ht="15.75" thickBot="1">
      <c r="A8" s="2208"/>
      <c r="B8" s="2215" t="s">
        <v>480</v>
      </c>
      <c r="C8" s="474" t="s">
        <v>524</v>
      </c>
      <c r="D8" s="470">
        <v>100</v>
      </c>
      <c r="E8" s="474" t="s">
        <v>3745</v>
      </c>
      <c r="F8" s="472">
        <f>SUMIF(51:51,E8,52:52)-SUMIF(51:51,C8,52:52)+100</f>
        <v>100</v>
      </c>
      <c r="G8" s="474" t="s">
        <v>3745</v>
      </c>
      <c r="H8" s="470">
        <f>SUMIF(51:51,G8,52:52)-SUMIF(51:51,C8,52:52)+100</f>
        <v>100</v>
      </c>
      <c r="I8" s="474" t="s">
        <v>3745</v>
      </c>
      <c r="J8" s="470">
        <f>SUMIF(51:51,I8,52:52)-SUMIF(51:51,C8,52:52)+100</f>
        <v>100</v>
      </c>
      <c r="K8" s="87"/>
      <c r="L8" s="1741"/>
      <c r="M8" s="1638"/>
      <c r="N8" s="1638"/>
      <c r="O8" s="1638"/>
      <c r="P8" s="3720" t="s">
        <v>482</v>
      </c>
      <c r="Q8" s="3721"/>
      <c r="R8" s="1301" t="s">
        <v>5</v>
      </c>
      <c r="S8" s="1302">
        <f t="shared" si="0"/>
        <v>100</v>
      </c>
      <c r="T8" s="1301" t="s">
        <v>5</v>
      </c>
      <c r="U8" s="1302">
        <f t="shared" si="1"/>
        <v>100</v>
      </c>
      <c r="V8" s="1301" t="s">
        <v>5</v>
      </c>
      <c r="W8" s="1302">
        <f t="shared" si="2"/>
        <v>100</v>
      </c>
      <c r="X8" s="1303"/>
      <c r="Y8" s="3720" t="s">
        <v>482</v>
      </c>
      <c r="Z8" s="3721"/>
      <c r="AA8" s="994">
        <f t="shared" ref="AA8:AA36" si="3">D8/F8</f>
        <v>1</v>
      </c>
      <c r="AB8" s="994">
        <f t="shared" ref="AB8:AB36" si="4">D8/H8</f>
        <v>1</v>
      </c>
      <c r="AC8" s="994">
        <f t="shared" ref="AC8:AC36" si="5">D8/J8</f>
        <v>1</v>
      </c>
    </row>
    <row r="9" spans="1:29" s="1057" customFormat="1" ht="15">
      <c r="A9" s="2209"/>
      <c r="B9" s="2216" t="s">
        <v>2038</v>
      </c>
      <c r="C9" s="3518" t="s">
        <v>3744</v>
      </c>
      <c r="D9" s="153">
        <v>100</v>
      </c>
      <c r="E9" s="792" t="s">
        <v>2731</v>
      </c>
      <c r="F9" s="153">
        <f>SUMIF(53:53,E9,54:54)-SUMIF(53:53,C9,54:54)+100</f>
        <v>100</v>
      </c>
      <c r="G9" s="792" t="s">
        <v>2731</v>
      </c>
      <c r="H9" s="153">
        <f>SUMIF(53:53,G9,54:54)-SUMIF(53:53,C9,54:54)+100</f>
        <v>100</v>
      </c>
      <c r="I9" s="792" t="s">
        <v>2731</v>
      </c>
      <c r="J9" s="153">
        <f>SUMIF(53:53,I9,54:54)-SUMIF(53:53,C9,54:54)+100</f>
        <v>100</v>
      </c>
      <c r="K9" s="87"/>
      <c r="L9" s="1741"/>
      <c r="M9" s="1638"/>
      <c r="N9" s="1638"/>
      <c r="O9" s="1742"/>
      <c r="P9" s="3728" t="s">
        <v>484</v>
      </c>
      <c r="Q9" s="815" t="str">
        <f t="shared" ref="Q9:Q14" si="6">B9</f>
        <v>用途</v>
      </c>
      <c r="R9" s="1301" t="s">
        <v>5</v>
      </c>
      <c r="S9" s="1302">
        <f t="shared" si="0"/>
        <v>100</v>
      </c>
      <c r="T9" s="1301" t="s">
        <v>5</v>
      </c>
      <c r="U9" s="1302">
        <f t="shared" si="1"/>
        <v>100</v>
      </c>
      <c r="V9" s="1301" t="s">
        <v>5</v>
      </c>
      <c r="W9" s="1302">
        <f t="shared" si="2"/>
        <v>100</v>
      </c>
      <c r="X9" s="1303"/>
      <c r="Y9" s="3680"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28"/>
      <c r="Q10" s="815" t="str">
        <f t="shared" si="6"/>
        <v>土地使用年限（年）</v>
      </c>
      <c r="R10" s="1301" t="s">
        <v>5</v>
      </c>
      <c r="S10" s="1302">
        <f t="shared" si="0"/>
        <v>100</v>
      </c>
      <c r="T10" s="1301" t="s">
        <v>5</v>
      </c>
      <c r="U10" s="1302">
        <f t="shared" si="1"/>
        <v>100</v>
      </c>
      <c r="V10" s="1301" t="s">
        <v>5</v>
      </c>
      <c r="W10" s="1302">
        <f t="shared" si="2"/>
        <v>100</v>
      </c>
      <c r="X10" s="1303"/>
      <c r="Y10" s="3680"/>
      <c r="Z10" s="994" t="str">
        <f t="shared" si="7"/>
        <v>土地使用年限（年）</v>
      </c>
      <c r="AA10" s="994">
        <f t="shared" si="3"/>
        <v>1</v>
      </c>
      <c r="AB10" s="994">
        <f t="shared" si="4"/>
        <v>1</v>
      </c>
      <c r="AC10" s="994">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28"/>
      <c r="Q11" s="815">
        <f t="shared" si="6"/>
        <v>111</v>
      </c>
      <c r="R11" s="1301" t="s">
        <v>5</v>
      </c>
      <c r="S11" s="1302">
        <f t="shared" si="0"/>
        <v>100</v>
      </c>
      <c r="T11" s="1301" t="s">
        <v>5</v>
      </c>
      <c r="U11" s="1302">
        <f t="shared" si="1"/>
        <v>100</v>
      </c>
      <c r="V11" s="1301" t="s">
        <v>5</v>
      </c>
      <c r="W11" s="1302">
        <f t="shared" si="2"/>
        <v>100</v>
      </c>
      <c r="X11" s="1303"/>
      <c r="Y11" s="3680"/>
      <c r="Z11" s="994">
        <f t="shared" si="7"/>
        <v>111</v>
      </c>
      <c r="AA11" s="994">
        <f t="shared" si="3"/>
        <v>1</v>
      </c>
      <c r="AB11" s="994">
        <f t="shared" si="4"/>
        <v>1</v>
      </c>
      <c r="AC11" s="994">
        <f t="shared" si="5"/>
        <v>1</v>
      </c>
    </row>
    <row r="12" spans="1:29" s="1057"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28"/>
      <c r="Q12" s="815">
        <f t="shared" si="6"/>
        <v>111</v>
      </c>
      <c r="R12" s="1301" t="s">
        <v>5</v>
      </c>
      <c r="S12" s="1302">
        <f t="shared" si="0"/>
        <v>100</v>
      </c>
      <c r="T12" s="1301" t="s">
        <v>5</v>
      </c>
      <c r="U12" s="1302">
        <f t="shared" si="1"/>
        <v>100</v>
      </c>
      <c r="V12" s="1301" t="s">
        <v>5</v>
      </c>
      <c r="W12" s="1302">
        <f t="shared" si="2"/>
        <v>100</v>
      </c>
      <c r="X12" s="1303"/>
      <c r="Y12" s="3680"/>
      <c r="Z12" s="994">
        <f t="shared" si="7"/>
        <v>111</v>
      </c>
      <c r="AA12" s="994">
        <f>D12/F12</f>
        <v>1</v>
      </c>
      <c r="AB12" s="994">
        <f>D12/H12</f>
        <v>1</v>
      </c>
      <c r="AC12" s="994">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28"/>
      <c r="Q13" s="815">
        <f t="shared" si="6"/>
        <v>111</v>
      </c>
      <c r="R13" s="1301" t="s">
        <v>5</v>
      </c>
      <c r="S13" s="1302">
        <f t="shared" si="0"/>
        <v>100</v>
      </c>
      <c r="T13" s="1301" t="s">
        <v>5</v>
      </c>
      <c r="U13" s="1302">
        <f t="shared" si="1"/>
        <v>100</v>
      </c>
      <c r="V13" s="1301" t="s">
        <v>5</v>
      </c>
      <c r="W13" s="1302">
        <f t="shared" si="2"/>
        <v>100</v>
      </c>
      <c r="X13" s="1303"/>
      <c r="Y13" s="3680"/>
      <c r="Z13" s="994">
        <f t="shared" si="7"/>
        <v>111</v>
      </c>
      <c r="AA13" s="994">
        <f t="shared" si="3"/>
        <v>1</v>
      </c>
      <c r="AB13" s="994">
        <f t="shared" si="4"/>
        <v>1</v>
      </c>
      <c r="AC13" s="994">
        <f t="shared" si="5"/>
        <v>1</v>
      </c>
    </row>
    <row r="14" spans="1:29" ht="85.5">
      <c r="A14" s="2205"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30" t="s">
        <v>489</v>
      </c>
      <c r="Q14" s="1304" t="str">
        <f t="shared" si="6"/>
        <v>交通便捷度</v>
      </c>
      <c r="R14" s="1305" t="s">
        <v>5</v>
      </c>
      <c r="S14" s="1306">
        <f t="shared" si="0"/>
        <v>97</v>
      </c>
      <c r="T14" s="1305" t="s">
        <v>5</v>
      </c>
      <c r="U14" s="1306">
        <f t="shared" si="1"/>
        <v>97</v>
      </c>
      <c r="V14" s="1305" t="s">
        <v>5</v>
      </c>
      <c r="W14" s="1306">
        <f t="shared" si="2"/>
        <v>97</v>
      </c>
      <c r="X14" s="1300"/>
      <c r="Y14" s="3730"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3685</v>
      </c>
      <c r="D15" s="504"/>
      <c r="E15" s="525" t="s">
        <v>3686</v>
      </c>
      <c r="F15" s="506"/>
      <c r="G15" s="525" t="s">
        <v>3686</v>
      </c>
      <c r="H15" s="508"/>
      <c r="I15" s="525" t="s">
        <v>3686</v>
      </c>
      <c r="J15" s="504"/>
      <c r="K15" s="820"/>
      <c r="L15" s="1747"/>
      <c r="M15" s="1740"/>
      <c r="N15" s="1740"/>
      <c r="O15" s="1746"/>
      <c r="P15" s="3731"/>
      <c r="Q15" s="1304"/>
      <c r="R15" s="1305"/>
      <c r="S15" s="1306"/>
      <c r="T15" s="1305"/>
      <c r="U15" s="1306"/>
      <c r="V15" s="1305"/>
      <c r="W15" s="1306"/>
      <c r="X15" s="1300"/>
      <c r="Y15" s="3731"/>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31"/>
      <c r="Q16" s="1304" t="str">
        <f>B16</f>
        <v>公共配套设施</v>
      </c>
      <c r="R16" s="1305" t="s">
        <v>5</v>
      </c>
      <c r="S16" s="1306">
        <f>F16</f>
        <v>100</v>
      </c>
      <c r="T16" s="1305" t="s">
        <v>5</v>
      </c>
      <c r="U16" s="1306">
        <f>H16</f>
        <v>100</v>
      </c>
      <c r="V16" s="1305" t="s">
        <v>5</v>
      </c>
      <c r="W16" s="1306">
        <f>J16</f>
        <v>100</v>
      </c>
      <c r="X16" s="1300"/>
      <c r="Y16" s="3731"/>
      <c r="Z16" s="1307" t="str">
        <f>Q16</f>
        <v>公共配套设施</v>
      </c>
      <c r="AA16" s="1307">
        <f t="shared" si="3"/>
        <v>1</v>
      </c>
      <c r="AB16" s="1307">
        <f t="shared" si="4"/>
        <v>1</v>
      </c>
      <c r="AC16" s="1307">
        <f t="shared" si="5"/>
        <v>1</v>
      </c>
    </row>
    <row r="17" spans="1:29" ht="15">
      <c r="A17" s="465"/>
      <c r="B17" s="515"/>
      <c r="C17" s="525" t="s">
        <v>3686</v>
      </c>
      <c r="D17" s="504"/>
      <c r="E17" s="525" t="s">
        <v>3686</v>
      </c>
      <c r="F17" s="506"/>
      <c r="G17" s="525" t="s">
        <v>3686</v>
      </c>
      <c r="H17" s="504"/>
      <c r="I17" s="525" t="s">
        <v>3686</v>
      </c>
      <c r="J17" s="504"/>
      <c r="K17" s="820"/>
      <c r="L17" s="1747"/>
      <c r="M17" s="1740"/>
      <c r="N17" s="1740"/>
      <c r="O17" s="1746"/>
      <c r="P17" s="3731"/>
      <c r="Q17" s="1304"/>
      <c r="R17" s="1305"/>
      <c r="S17" s="1306"/>
      <c r="T17" s="1305"/>
      <c r="U17" s="1306"/>
      <c r="V17" s="1305"/>
      <c r="W17" s="1306"/>
      <c r="X17" s="1300"/>
      <c r="Y17" s="3731"/>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31"/>
      <c r="Q18" s="1304" t="str">
        <f>B18</f>
        <v>基础设施水平</v>
      </c>
      <c r="R18" s="1305" t="s">
        <v>5</v>
      </c>
      <c r="S18" s="1306">
        <f>F18</f>
        <v>100</v>
      </c>
      <c r="T18" s="1305" t="s">
        <v>5</v>
      </c>
      <c r="U18" s="1306">
        <f>H18</f>
        <v>100</v>
      </c>
      <c r="V18" s="1305" t="s">
        <v>5</v>
      </c>
      <c r="W18" s="1306">
        <f>J18</f>
        <v>100</v>
      </c>
      <c r="X18" s="1300"/>
      <c r="Y18" s="3731"/>
      <c r="Z18" s="1307" t="str">
        <f>Q18</f>
        <v>基础设施水平</v>
      </c>
      <c r="AA18" s="1307">
        <f>D18/F18</f>
        <v>1</v>
      </c>
      <c r="AB18" s="1307">
        <f>D18/H18</f>
        <v>1</v>
      </c>
      <c r="AC18" s="1307">
        <f>D18/J18</f>
        <v>1</v>
      </c>
    </row>
    <row r="19" spans="1:29" ht="15">
      <c r="A19" s="465"/>
      <c r="B19" s="527"/>
      <c r="C19" s="801" t="s">
        <v>3679</v>
      </c>
      <c r="D19" s="508"/>
      <c r="E19" s="801" t="s">
        <v>3679</v>
      </c>
      <c r="F19" s="506"/>
      <c r="G19" s="801" t="s">
        <v>3679</v>
      </c>
      <c r="H19" s="504"/>
      <c r="I19" s="801" t="s">
        <v>3679</v>
      </c>
      <c r="J19" s="504"/>
      <c r="K19" s="2059"/>
      <c r="L19" s="1747"/>
      <c r="M19" s="1740"/>
      <c r="N19" s="1740"/>
      <c r="O19" s="1746"/>
      <c r="P19" s="3731"/>
      <c r="Q19" s="1304"/>
      <c r="R19" s="1305"/>
      <c r="S19" s="1306"/>
      <c r="T19" s="1305"/>
      <c r="U19" s="1306"/>
      <c r="V19" s="1305"/>
      <c r="W19" s="1306"/>
      <c r="X19" s="1300"/>
      <c r="Y19" s="3731"/>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31"/>
      <c r="Q20" s="1304" t="str">
        <f>B20</f>
        <v>自然及人文环境</v>
      </c>
      <c r="R20" s="1305" t="s">
        <v>5</v>
      </c>
      <c r="S20" s="1306">
        <f>F20</f>
        <v>100</v>
      </c>
      <c r="T20" s="1305" t="s">
        <v>5</v>
      </c>
      <c r="U20" s="1306">
        <f>H20</f>
        <v>100</v>
      </c>
      <c r="V20" s="1305" t="s">
        <v>5</v>
      </c>
      <c r="W20" s="1306">
        <f>J20</f>
        <v>100</v>
      </c>
      <c r="X20" s="1300"/>
      <c r="Y20" s="3731"/>
      <c r="Z20" s="1307" t="str">
        <f>Q20</f>
        <v>自然及人文环境</v>
      </c>
      <c r="AA20" s="1307">
        <f t="shared" si="3"/>
        <v>1</v>
      </c>
      <c r="AB20" s="1307">
        <f t="shared" si="4"/>
        <v>1</v>
      </c>
      <c r="AC20" s="1307">
        <f t="shared" si="5"/>
        <v>1</v>
      </c>
    </row>
    <row r="21" spans="1:29" ht="15">
      <c r="A21" s="465"/>
      <c r="B21" s="515"/>
      <c r="C21" s="525" t="s">
        <v>3686</v>
      </c>
      <c r="D21" s="504"/>
      <c r="E21" s="525" t="s">
        <v>3686</v>
      </c>
      <c r="F21" s="506"/>
      <c r="G21" s="525" t="s">
        <v>3686</v>
      </c>
      <c r="H21" s="504"/>
      <c r="I21" s="525" t="s">
        <v>3686</v>
      </c>
      <c r="J21" s="504"/>
      <c r="K21" s="820"/>
      <c r="L21" s="1747"/>
      <c r="M21" s="1740"/>
      <c r="N21" s="1740"/>
      <c r="O21" s="1746"/>
      <c r="P21" s="3731"/>
      <c r="Q21" s="1304"/>
      <c r="R21" s="1305"/>
      <c r="S21" s="1306"/>
      <c r="T21" s="1305"/>
      <c r="U21" s="1306"/>
      <c r="V21" s="1305"/>
      <c r="W21" s="1306"/>
      <c r="X21" s="1300"/>
      <c r="Y21" s="3731"/>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31"/>
      <c r="Q22" s="1304" t="str">
        <f>B22</f>
        <v>楼层</v>
      </c>
      <c r="R22" s="1305" t="s">
        <v>5</v>
      </c>
      <c r="S22" s="1306">
        <f>F22</f>
        <v>100</v>
      </c>
      <c r="T22" s="1305" t="s">
        <v>5</v>
      </c>
      <c r="U22" s="1306">
        <f>H22</f>
        <v>100</v>
      </c>
      <c r="V22" s="1305" t="s">
        <v>5</v>
      </c>
      <c r="W22" s="1306">
        <f>J22</f>
        <v>100</v>
      </c>
      <c r="X22" s="1300"/>
      <c r="Y22" s="3731"/>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31"/>
      <c r="Q23" s="1304">
        <f>B23</f>
        <v>111</v>
      </c>
      <c r="R23" s="1305" t="s">
        <v>5</v>
      </c>
      <c r="S23" s="1306">
        <f>F23</f>
        <v>100</v>
      </c>
      <c r="T23" s="1305" t="s">
        <v>5</v>
      </c>
      <c r="U23" s="1306">
        <f>H23</f>
        <v>100</v>
      </c>
      <c r="V23" s="1305" t="s">
        <v>5</v>
      </c>
      <c r="W23" s="1306">
        <f>J23</f>
        <v>100</v>
      </c>
      <c r="X23" s="1300"/>
      <c r="Y23" s="3731"/>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31"/>
      <c r="Q24" s="1304">
        <f t="shared" ref="Q24:Q36" si="8">B24</f>
        <v>111</v>
      </c>
      <c r="R24" s="1305" t="s">
        <v>5</v>
      </c>
      <c r="S24" s="1306">
        <f>F24</f>
        <v>100</v>
      </c>
      <c r="T24" s="1305" t="s">
        <v>5</v>
      </c>
      <c r="U24" s="1306">
        <f>H24</f>
        <v>100</v>
      </c>
      <c r="V24" s="1305" t="s">
        <v>5</v>
      </c>
      <c r="W24" s="1306">
        <f>J24</f>
        <v>100</v>
      </c>
      <c r="X24" s="1300"/>
      <c r="Y24" s="3731"/>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31"/>
      <c r="Q25" s="815">
        <f t="shared" si="8"/>
        <v>111</v>
      </c>
      <c r="R25" s="1301" t="s">
        <v>5</v>
      </c>
      <c r="S25" s="1302">
        <f>F25</f>
        <v>100</v>
      </c>
      <c r="T25" s="1301" t="s">
        <v>5</v>
      </c>
      <c r="U25" s="1302">
        <f>H25</f>
        <v>100</v>
      </c>
      <c r="V25" s="1301" t="s">
        <v>5</v>
      </c>
      <c r="W25" s="1302">
        <f>J25</f>
        <v>100</v>
      </c>
      <c r="X25" s="1303"/>
      <c r="Y25" s="3731"/>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32"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33"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33"/>
      <c r="Q27" s="816" t="str">
        <f t="shared" si="8"/>
        <v>项目停车位配比</v>
      </c>
      <c r="R27" s="1308" t="s">
        <v>5</v>
      </c>
      <c r="S27" s="1309">
        <f t="shared" si="9"/>
        <v>100</v>
      </c>
      <c r="T27" s="1308" t="s">
        <v>5</v>
      </c>
      <c r="U27" s="1309">
        <f t="shared" si="10"/>
        <v>100</v>
      </c>
      <c r="V27" s="1308" t="s">
        <v>5</v>
      </c>
      <c r="W27" s="1309">
        <f t="shared" si="11"/>
        <v>100</v>
      </c>
      <c r="X27" s="1310"/>
      <c r="Y27" s="3733"/>
      <c r="Z27" s="1311" t="str">
        <f t="shared" si="12"/>
        <v>项目停车位配比</v>
      </c>
      <c r="AA27" s="1307">
        <f t="shared" si="3"/>
        <v>1</v>
      </c>
      <c r="AB27" s="1307">
        <f t="shared" si="4"/>
        <v>1</v>
      </c>
      <c r="AC27" s="1307">
        <f t="shared" si="5"/>
        <v>1</v>
      </c>
    </row>
    <row r="28" spans="1:29" ht="15">
      <c r="A28" s="849"/>
      <c r="B28" s="234" t="s">
        <v>748</v>
      </c>
      <c r="C28" s="523" t="s">
        <v>3746</v>
      </c>
      <c r="D28" s="489">
        <v>100</v>
      </c>
      <c r="E28" s="523" t="s">
        <v>3746</v>
      </c>
      <c r="F28" s="524">
        <f>SUMIF(83:83,E28,84:84)-SUMIF(83:83,C28,84:84)+100</f>
        <v>100</v>
      </c>
      <c r="G28" s="523" t="s">
        <v>3746</v>
      </c>
      <c r="H28" s="489">
        <f>SUMIF(83:83,G28,84:84)-SUMIF(83:83,C28,84:84)+100</f>
        <v>100</v>
      </c>
      <c r="I28" s="523" t="s">
        <v>3746</v>
      </c>
      <c r="J28" s="489">
        <f>SUMIF(83:83,I28,84:84)-SUMIF(83:83,C28,84:84)+100</f>
        <v>100</v>
      </c>
      <c r="K28" s="532">
        <v>2</v>
      </c>
      <c r="L28" s="1747"/>
      <c r="M28" s="1740"/>
      <c r="N28" s="1740"/>
      <c r="O28" s="1746"/>
      <c r="P28" s="3733"/>
      <c r="Q28" s="1304" t="str">
        <f t="shared" si="8"/>
        <v>公共部分装修</v>
      </c>
      <c r="R28" s="1305" t="s">
        <v>5</v>
      </c>
      <c r="S28" s="1306">
        <f t="shared" si="9"/>
        <v>100</v>
      </c>
      <c r="T28" s="1305" t="s">
        <v>5</v>
      </c>
      <c r="U28" s="1306">
        <f t="shared" si="10"/>
        <v>100</v>
      </c>
      <c r="V28" s="1305" t="s">
        <v>5</v>
      </c>
      <c r="W28" s="1306">
        <f t="shared" si="11"/>
        <v>100</v>
      </c>
      <c r="X28" s="1300"/>
      <c r="Y28" s="3733"/>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33"/>
      <c r="Q29" s="1304" t="str">
        <f t="shared" si="8"/>
        <v>成新率</v>
      </c>
      <c r="R29" s="1305" t="s">
        <v>5</v>
      </c>
      <c r="S29" s="1306">
        <f t="shared" si="9"/>
        <v>100</v>
      </c>
      <c r="T29" s="1305" t="s">
        <v>5</v>
      </c>
      <c r="U29" s="1306">
        <f t="shared" si="10"/>
        <v>100</v>
      </c>
      <c r="V29" s="1305" t="s">
        <v>5</v>
      </c>
      <c r="W29" s="1306">
        <f t="shared" si="11"/>
        <v>100</v>
      </c>
      <c r="X29" s="1300"/>
      <c r="Y29" s="3733"/>
      <c r="Z29" s="1307" t="str">
        <f t="shared" si="12"/>
        <v>成新率</v>
      </c>
      <c r="AA29" s="1307">
        <f t="shared" si="3"/>
        <v>1</v>
      </c>
      <c r="AB29" s="1307">
        <f t="shared" si="4"/>
        <v>1</v>
      </c>
      <c r="AC29" s="1307">
        <f t="shared" si="5"/>
        <v>1</v>
      </c>
    </row>
    <row r="30" spans="1:29" ht="15">
      <c r="A30" s="849"/>
      <c r="B30" s="234" t="s">
        <v>750</v>
      </c>
      <c r="C30" s="850" t="s">
        <v>3720</v>
      </c>
      <c r="D30" s="489">
        <v>100</v>
      </c>
      <c r="E30" s="850" t="s">
        <v>3720</v>
      </c>
      <c r="F30" s="524">
        <f>SUMIF(88:88,E30,89:89)-SUMIF(88:88,C30,89:89)+100</f>
        <v>100</v>
      </c>
      <c r="G30" s="850" t="s">
        <v>3720</v>
      </c>
      <c r="H30" s="489">
        <f>SUMIF(88:88,E30,89:89)-SUMIF(88:88,C30,89:89)+100</f>
        <v>100</v>
      </c>
      <c r="I30" s="850" t="s">
        <v>3720</v>
      </c>
      <c r="J30" s="489">
        <f>SUMIF(88:88,E30,89:89)-SUMIF(88:88,C30,89:89)+100</f>
        <v>100</v>
      </c>
      <c r="K30" s="532">
        <v>2</v>
      </c>
      <c r="L30" s="1747"/>
      <c r="M30" s="1740"/>
      <c r="N30" s="1740"/>
      <c r="O30" s="1746"/>
      <c r="P30" s="3733"/>
      <c r="Q30" s="1304" t="str">
        <f t="shared" si="8"/>
        <v>物业等级</v>
      </c>
      <c r="R30" s="1305" t="s">
        <v>5</v>
      </c>
      <c r="S30" s="1306">
        <f t="shared" si="9"/>
        <v>100</v>
      </c>
      <c r="T30" s="1305" t="s">
        <v>5</v>
      </c>
      <c r="U30" s="1306">
        <f t="shared" si="10"/>
        <v>100</v>
      </c>
      <c r="V30" s="1305" t="s">
        <v>5</v>
      </c>
      <c r="W30" s="1306">
        <f t="shared" si="11"/>
        <v>100</v>
      </c>
      <c r="X30" s="1300"/>
      <c r="Y30" s="3733"/>
      <c r="Z30" s="1307" t="str">
        <f t="shared" si="12"/>
        <v>物业等级</v>
      </c>
      <c r="AA30" s="1307">
        <f t="shared" si="3"/>
        <v>1</v>
      </c>
      <c r="AB30" s="1307">
        <f t="shared" si="4"/>
        <v>1</v>
      </c>
      <c r="AC30" s="1307">
        <f t="shared" si="5"/>
        <v>1</v>
      </c>
    </row>
    <row r="31" spans="1:29" s="1057" customFormat="1" ht="15">
      <c r="A31" s="851"/>
      <c r="B31" s="234" t="s">
        <v>751</v>
      </c>
      <c r="C31" s="3520">
        <f>信息及取费!M35</f>
        <v>52.417263513513518</v>
      </c>
      <c r="D31" s="234">
        <v>100</v>
      </c>
      <c r="E31" s="3520">
        <f>5167/161</f>
        <v>32.093167701863351</v>
      </c>
      <c r="F31" s="524">
        <f>LOOKUP(E31,91:91,92:92)-LOOKUP(C31,91:91,92:92)+100</f>
        <v>99</v>
      </c>
      <c r="G31" s="3520">
        <f>13689/395</f>
        <v>34.655696202531644</v>
      </c>
      <c r="H31" s="489">
        <f>LOOKUP(G31,91:91,92:92)-LOOKUP(C31,91:91,92:92)+100</f>
        <v>99</v>
      </c>
      <c r="I31" s="3520">
        <f>10697/380</f>
        <v>28.15</v>
      </c>
      <c r="J31" s="489">
        <f>LOOKUP(I31,91:91,92:92)-LOOKUP(C31,91:91,92:92)+100</f>
        <v>99</v>
      </c>
      <c r="K31" s="532">
        <v>1</v>
      </c>
      <c r="L31" s="1741"/>
      <c r="M31" s="1638"/>
      <c r="N31" s="1638"/>
      <c r="O31" s="1742"/>
      <c r="P31" s="3733"/>
      <c r="Q31" s="815" t="str">
        <f t="shared" si="8"/>
        <v>停车位面积</v>
      </c>
      <c r="R31" s="1301" t="s">
        <v>5</v>
      </c>
      <c r="S31" s="1302">
        <f t="shared" si="9"/>
        <v>99</v>
      </c>
      <c r="T31" s="1301" t="s">
        <v>5</v>
      </c>
      <c r="U31" s="1302">
        <f t="shared" si="10"/>
        <v>99</v>
      </c>
      <c r="V31" s="1301" t="s">
        <v>5</v>
      </c>
      <c r="W31" s="1302">
        <f t="shared" si="11"/>
        <v>99</v>
      </c>
      <c r="X31" s="1303"/>
      <c r="Y31" s="3733"/>
      <c r="Z31" s="994" t="str">
        <f t="shared" si="12"/>
        <v>停车位面积</v>
      </c>
      <c r="AA31" s="994">
        <f t="shared" si="3"/>
        <v>1.0101010101010102</v>
      </c>
      <c r="AB31" s="994">
        <f t="shared" si="4"/>
        <v>1.0101010101010102</v>
      </c>
      <c r="AC31" s="994">
        <f t="shared" si="5"/>
        <v>1.0101010101010102</v>
      </c>
    </row>
    <row r="32" spans="1:29" ht="15">
      <c r="A32" s="849"/>
      <c r="B32" s="234" t="s">
        <v>752</v>
      </c>
      <c r="C32" s="523" t="s">
        <v>3747</v>
      </c>
      <c r="D32" s="489">
        <v>100</v>
      </c>
      <c r="E32" s="523" t="s">
        <v>3747</v>
      </c>
      <c r="F32" s="524">
        <f>SUMIF(93:93,E32,94:94)-SUMIF(93:93,C32,94:94)+100</f>
        <v>100</v>
      </c>
      <c r="G32" s="523" t="s">
        <v>3747</v>
      </c>
      <c r="H32" s="489">
        <f>SUMIF(93:93,G32,94:94)-SUMIF(93:93,C32,94:94)+100</f>
        <v>100</v>
      </c>
      <c r="I32" s="523" t="s">
        <v>3747</v>
      </c>
      <c r="J32" s="489">
        <f>SUMIF(93:93,I32,94:94)-SUMIF(93:93,C32,94:94)+100</f>
        <v>100</v>
      </c>
      <c r="K32" s="532">
        <v>2</v>
      </c>
      <c r="L32" s="1747"/>
      <c r="M32" s="1740"/>
      <c r="N32" s="1740"/>
      <c r="O32" s="1746"/>
      <c r="P32" s="3733" t="s">
        <v>499</v>
      </c>
      <c r="Q32" s="1304" t="str">
        <f t="shared" si="8"/>
        <v>车位类型</v>
      </c>
      <c r="R32" s="1305" t="s">
        <v>5</v>
      </c>
      <c r="S32" s="1306">
        <f t="shared" si="9"/>
        <v>100</v>
      </c>
      <c r="T32" s="1305" t="s">
        <v>5</v>
      </c>
      <c r="U32" s="1306">
        <f t="shared" si="10"/>
        <v>100</v>
      </c>
      <c r="V32" s="1305" t="s">
        <v>5</v>
      </c>
      <c r="W32" s="1306">
        <f t="shared" si="11"/>
        <v>100</v>
      </c>
      <c r="X32" s="1300"/>
      <c r="Y32" s="3733" t="s">
        <v>499</v>
      </c>
      <c r="Z32" s="1307" t="str">
        <f t="shared" si="12"/>
        <v>车位类型</v>
      </c>
      <c r="AA32" s="1307">
        <f t="shared" si="3"/>
        <v>1</v>
      </c>
      <c r="AB32" s="1307">
        <f t="shared" si="4"/>
        <v>1</v>
      </c>
      <c r="AC32" s="1307">
        <f t="shared" si="5"/>
        <v>1</v>
      </c>
    </row>
    <row r="33" spans="1:29" ht="15">
      <c r="A33" s="849"/>
      <c r="B33" s="234" t="s">
        <v>753</v>
      </c>
      <c r="C33" s="523" t="s">
        <v>3748</v>
      </c>
      <c r="D33" s="489">
        <v>100</v>
      </c>
      <c r="E33" s="523" t="s">
        <v>3748</v>
      </c>
      <c r="F33" s="524">
        <f>SUMIF(95:95,E33,96:96)-SUMIF(95:95,C33,96:96)+100</f>
        <v>100</v>
      </c>
      <c r="G33" s="523" t="s">
        <v>3748</v>
      </c>
      <c r="H33" s="489">
        <f>SUMIF(95:95,G33,96:96)-SUMIF(95:95,C33,96:96)+100</f>
        <v>100</v>
      </c>
      <c r="I33" s="523" t="s">
        <v>3748</v>
      </c>
      <c r="J33" s="489">
        <f>SUMIF(95:95,I33,96:96)-SUMIF(95:95,C33,96:96)+100</f>
        <v>100</v>
      </c>
      <c r="K33" s="532">
        <v>2</v>
      </c>
      <c r="L33" s="1747"/>
      <c r="M33" s="1740"/>
      <c r="N33" s="1740"/>
      <c r="O33" s="1746"/>
      <c r="P33" s="3733"/>
      <c r="Q33" s="1304" t="str">
        <f t="shared" si="8"/>
        <v>是否直接入户</v>
      </c>
      <c r="R33" s="1305" t="s">
        <v>5</v>
      </c>
      <c r="S33" s="1306">
        <f t="shared" si="9"/>
        <v>100</v>
      </c>
      <c r="T33" s="1305" t="s">
        <v>5</v>
      </c>
      <c r="U33" s="1306">
        <f t="shared" si="10"/>
        <v>100</v>
      </c>
      <c r="V33" s="1305" t="s">
        <v>5</v>
      </c>
      <c r="W33" s="1306">
        <f t="shared" si="11"/>
        <v>100</v>
      </c>
      <c r="X33" s="1300"/>
      <c r="Y33" s="3733"/>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33"/>
      <c r="Q34" s="1304">
        <f t="shared" si="8"/>
        <v>111</v>
      </c>
      <c r="R34" s="1305" t="s">
        <v>5</v>
      </c>
      <c r="S34" s="1306">
        <f t="shared" si="9"/>
        <v>100</v>
      </c>
      <c r="T34" s="1305" t="s">
        <v>5</v>
      </c>
      <c r="U34" s="1306">
        <f t="shared" si="10"/>
        <v>100</v>
      </c>
      <c r="V34" s="1305" t="s">
        <v>5</v>
      </c>
      <c r="W34" s="1306">
        <f t="shared" si="11"/>
        <v>100</v>
      </c>
      <c r="X34" s="1300"/>
      <c r="Y34" s="3733"/>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33"/>
      <c r="Q35" s="816">
        <f t="shared" si="8"/>
        <v>111</v>
      </c>
      <c r="R35" s="1308" t="s">
        <v>5</v>
      </c>
      <c r="S35" s="1309">
        <f t="shared" si="9"/>
        <v>100</v>
      </c>
      <c r="T35" s="1308" t="s">
        <v>5</v>
      </c>
      <c r="U35" s="1309">
        <f t="shared" si="10"/>
        <v>100</v>
      </c>
      <c r="V35" s="1308" t="s">
        <v>5</v>
      </c>
      <c r="W35" s="1309">
        <f t="shared" si="11"/>
        <v>100</v>
      </c>
      <c r="X35" s="1310"/>
      <c r="Y35" s="3733"/>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33"/>
      <c r="Q36" s="1304">
        <f t="shared" si="8"/>
        <v>111</v>
      </c>
      <c r="R36" s="1305" t="s">
        <v>5</v>
      </c>
      <c r="S36" s="1306">
        <f t="shared" si="9"/>
        <v>100</v>
      </c>
      <c r="T36" s="1305" t="s">
        <v>5</v>
      </c>
      <c r="U36" s="1306">
        <f t="shared" si="10"/>
        <v>100</v>
      </c>
      <c r="V36" s="1305" t="s">
        <v>5</v>
      </c>
      <c r="W36" s="1306">
        <f t="shared" si="11"/>
        <v>100</v>
      </c>
      <c r="X36" s="1300"/>
      <c r="Y36" s="3733"/>
      <c r="Z36" s="1307">
        <f t="shared" si="12"/>
        <v>111</v>
      </c>
      <c r="AA36" s="1307">
        <f t="shared" si="3"/>
        <v>1</v>
      </c>
      <c r="AB36" s="1307">
        <f t="shared" si="4"/>
        <v>1</v>
      </c>
      <c r="AC36" s="1307">
        <f t="shared" si="5"/>
        <v>1</v>
      </c>
    </row>
    <row r="37" spans="1:29" ht="15">
      <c r="A37" s="1533" t="s">
        <v>1595</v>
      </c>
      <c r="B37" s="1534" t="s">
        <v>3749</v>
      </c>
      <c r="C37" s="2079" t="s">
        <v>0</v>
      </c>
      <c r="D37" s="558"/>
      <c r="E37" s="559">
        <f>ROUND(4595/161*10000,0)</f>
        <v>285404</v>
      </c>
      <c r="F37" s="560"/>
      <c r="G37" s="559">
        <f>ROUND(257.98/8*10000,0)</f>
        <v>322475</v>
      </c>
      <c r="H37" s="562"/>
      <c r="I37" s="559">
        <f>ROUND(12984.4/395*10000,0)</f>
        <v>328719</v>
      </c>
      <c r="J37" s="562"/>
      <c r="K37" s="1333"/>
      <c r="L37" s="1749"/>
      <c r="M37" s="1740"/>
      <c r="N37" s="1740"/>
      <c r="O37" s="1740"/>
      <c r="P37" s="3728" t="str">
        <f>A37</f>
        <v>成交单价</v>
      </c>
      <c r="Q37" s="3728"/>
      <c r="R37" s="3744">
        <f>E37</f>
        <v>285404</v>
      </c>
      <c r="S37" s="3744"/>
      <c r="T37" s="3744">
        <f>G37</f>
        <v>322475</v>
      </c>
      <c r="U37" s="3744"/>
      <c r="V37" s="3744">
        <f>I37</f>
        <v>328719</v>
      </c>
      <c r="W37" s="3744"/>
      <c r="X37" s="798"/>
      <c r="Y37" s="1312"/>
      <c r="Z37" s="798"/>
      <c r="AA37" s="798"/>
      <c r="AB37" s="798"/>
      <c r="AC37" s="798"/>
    </row>
    <row r="38" spans="1:29" ht="15.75" thickBot="1">
      <c r="A38" s="563" t="s">
        <v>2042</v>
      </c>
      <c r="B38" s="810"/>
      <c r="C38" s="2080">
        <f>R39</f>
        <v>325106</v>
      </c>
      <c r="D38" s="2548" t="s">
        <v>2252</v>
      </c>
      <c r="E38" s="2081">
        <f>R38</f>
        <v>297203</v>
      </c>
      <c r="F38" s="2549"/>
      <c r="G38" s="2080">
        <f>T38</f>
        <v>335807</v>
      </c>
      <c r="H38" s="2549"/>
      <c r="I38" s="2081">
        <f>V38</f>
        <v>342309</v>
      </c>
      <c r="J38" s="2549"/>
      <c r="K38" s="2556">
        <f>F38+H38+J38</f>
        <v>0</v>
      </c>
      <c r="L38" s="1749"/>
      <c r="M38" s="1740"/>
      <c r="N38" s="1740"/>
      <c r="O38" s="1740"/>
      <c r="P38" s="3728" t="str">
        <f>A38</f>
        <v>比较价格（元/平方米）</v>
      </c>
      <c r="Q38" s="3728"/>
      <c r="R38" s="3744">
        <f>IF(F1="售价",ROUND(PRODUCT(R37,AA7:AA36),0),ROUND(PRODUCT(R37,AA7:AA36),1))</f>
        <v>297203</v>
      </c>
      <c r="S38" s="3744"/>
      <c r="T38" s="3744">
        <f>IF(F1="售价",ROUND(PRODUCT(T37,AB7:AB36),0),ROUND(PRODUCT(T37,AB7:AB36),1))</f>
        <v>335807</v>
      </c>
      <c r="U38" s="3744"/>
      <c r="V38" s="3744">
        <f>IF(F1="售价",ROUND(PRODUCT(V37,AC7:AC36),0),ROUND(PRODUCT(V37,AC7:AC36),1))</f>
        <v>342309</v>
      </c>
      <c r="W38" s="3744"/>
      <c r="X38" s="798"/>
      <c r="Y38" s="798"/>
      <c r="Z38" s="798"/>
      <c r="AA38" s="798"/>
      <c r="AB38" s="798"/>
      <c r="AC38" s="798"/>
    </row>
    <row r="39" spans="1:29" ht="15.75" thickBot="1">
      <c r="A39" s="567" t="s">
        <v>2189</v>
      </c>
      <c r="B39" s="568"/>
      <c r="C39" s="468">
        <f>R39</f>
        <v>325106</v>
      </c>
      <c r="D39" s="468"/>
      <c r="E39" s="468"/>
      <c r="F39" s="468"/>
      <c r="G39" s="468"/>
      <c r="H39" s="468"/>
      <c r="I39" s="468"/>
      <c r="J39" s="468"/>
      <c r="K39" s="1334"/>
      <c r="L39" s="1749"/>
      <c r="M39" s="1740"/>
      <c r="N39" s="1740"/>
      <c r="O39" s="1740"/>
      <c r="P39" s="3734" t="str">
        <f>A39</f>
        <v>估价对象XX用房的比较价格（楼面单价，元/平方米）</v>
      </c>
      <c r="Q39" s="3735"/>
      <c r="R39" s="3817">
        <f>IF(F1="售价",ROUND(IF(D38="简单平均",AVERAGE(R38:W38),R38*F38+T38*H38+V38*J38),0),ROUND(IF(D38="简单平均",AVERAGE(R38:V38),R38*F38+T38*H38+V38*J38),1))</f>
        <v>325106</v>
      </c>
      <c r="S39" s="3817"/>
      <c r="T39" s="3817"/>
      <c r="U39" s="3817"/>
      <c r="V39" s="3817"/>
      <c r="W39" s="3817"/>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4.1341396756877868E-2</v>
      </c>
      <c r="F42" s="573" t="str">
        <f>IF(OR(E42&gt;=0.3,E42&lt;=-0.3),"超过30%","")</f>
        <v/>
      </c>
      <c r="G42" s="572">
        <f>IF(G37&lt;G38,G38/G37-1,G37/G38-1)</f>
        <v>4.134273974726721E-2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0.12989101725083518</v>
      </c>
      <c r="F43" s="573" t="str">
        <f>IF(OR(E43&gt;=0.2,E43&lt;=-0.2),"超过20%","")</f>
        <v/>
      </c>
      <c r="G43" s="572">
        <f>IF(G38&lt;I38,I38/G38-1,G38/I38-1)</f>
        <v>1.9362312280565952E-2</v>
      </c>
      <c r="H43" s="573" t="str">
        <f>IF(OR(G43&gt;=0.2,G43&lt;=-0.2),"超过20%","")</f>
        <v/>
      </c>
      <c r="I43" s="572">
        <f>IF(I38&lt;E38,E38/I38-1,I38/E38-1)</f>
        <v>0.15176831996985229</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0.12988956006222763</v>
      </c>
      <c r="F44" s="573" t="str">
        <f>IF(OR(E44&gt;=0.3,E44&lt;=-0.3),"超过30%","")</f>
        <v/>
      </c>
      <c r="G44" s="572">
        <f>IF(G37&lt;I37,I37/G37-1,G37/I37-1)</f>
        <v>1.9362741297775043E-2</v>
      </c>
      <c r="H44" s="573" t="str">
        <f>IF(OR(G44&gt;=0.3,G44&lt;=-0.3),"超过30%","")</f>
        <v/>
      </c>
      <c r="I44" s="572">
        <f>IF(I37&lt;E37,E37/I37-1,I37/E37-1)</f>
        <v>0.15176731930876941</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3" t="s">
        <v>3737</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38"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45616</v>
      </c>
      <c r="H1" s="2232">
        <f>IF(C1&gt;C13,0,MATCH(C1,C$13:C$114,-1))+IF(SUMIF(C13:C114,C1,D13:D114)=0,13,12)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2.5</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3">
        <v>4.25</v>
      </c>
      <c r="E26" s="2773">
        <v>4.25</v>
      </c>
      <c r="F26" s="2773">
        <v>4.25</v>
      </c>
      <c r="G26" s="2773">
        <v>4.25</v>
      </c>
      <c r="H26" s="2773">
        <v>4.8499999999999996</v>
      </c>
      <c r="I26" s="2773"/>
      <c r="J26" s="2773"/>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7"/>
      <c r="C27" s="2778">
        <v>42301</v>
      </c>
      <c r="D27" s="2779">
        <v>4.3499999999999996</v>
      </c>
      <c r="E27" s="2779">
        <v>4.3499999999999996</v>
      </c>
      <c r="F27" s="2779">
        <v>4.75</v>
      </c>
      <c r="G27" s="2779">
        <v>4.75</v>
      </c>
      <c r="H27" s="2779">
        <v>4.9000000000000004</v>
      </c>
      <c r="I27" s="2779"/>
      <c r="J27" s="2779"/>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8" t="s">
        <v>1556</v>
      </c>
      <c r="B1" s="3538"/>
      <c r="C1" s="3538"/>
      <c r="D1" s="3538"/>
      <c r="E1" s="3538"/>
      <c r="F1" s="3538"/>
      <c r="G1" s="3538"/>
      <c r="H1" s="3538"/>
      <c r="I1" s="3538"/>
      <c r="J1" s="3538"/>
      <c r="K1" s="3538"/>
      <c r="L1" s="3538"/>
      <c r="M1" s="3538"/>
      <c r="N1" s="3538"/>
      <c r="O1" s="3538"/>
      <c r="P1" s="3538"/>
      <c r="Q1" s="3538"/>
      <c r="R1" s="3538"/>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39" t="s">
        <v>1547</v>
      </c>
      <c r="B3" s="3539" t="s">
        <v>2013</v>
      </c>
      <c r="C3" s="3540" t="s">
        <v>1548</v>
      </c>
      <c r="D3" s="3539" t="s">
        <v>2017</v>
      </c>
      <c r="E3" s="3541" t="s">
        <v>1549</v>
      </c>
      <c r="F3" s="3541"/>
      <c r="G3" s="3541"/>
      <c r="H3" s="3541" t="s">
        <v>1550</v>
      </c>
      <c r="I3" s="3541"/>
      <c r="J3" s="3541"/>
      <c r="K3" s="3540" t="s">
        <v>1551</v>
      </c>
      <c r="L3" s="3540" t="s">
        <v>1552</v>
      </c>
      <c r="M3" s="3539" t="s">
        <v>2014</v>
      </c>
      <c r="N3" s="3539" t="str">
        <f>"（分摊）"&amp;项目基本情况!A17&amp;"国有建设用地使用权面积/㎡"</f>
        <v>（分摊）出让国有建设用地使用权面积/㎡</v>
      </c>
      <c r="O3" s="3539" t="s">
        <v>1581</v>
      </c>
      <c r="P3" s="3540" t="s">
        <v>1561</v>
      </c>
      <c r="Q3" s="3540" t="s">
        <v>1582</v>
      </c>
      <c r="R3" s="3540" t="s">
        <v>1553</v>
      </c>
    </row>
    <row r="4" spans="1:18" ht="36.75" customHeight="1">
      <c r="A4" s="3539"/>
      <c r="B4" s="3539"/>
      <c r="C4" s="3540"/>
      <c r="D4" s="3539"/>
      <c r="E4" s="1503" t="s">
        <v>1560</v>
      </c>
      <c r="F4" s="1503" t="s">
        <v>2026</v>
      </c>
      <c r="G4" s="1503" t="s">
        <v>1554</v>
      </c>
      <c r="H4" s="1503" t="s">
        <v>1555</v>
      </c>
      <c r="I4" s="1503" t="s">
        <v>2027</v>
      </c>
      <c r="J4" s="1503" t="s">
        <v>1554</v>
      </c>
      <c r="K4" s="3540"/>
      <c r="L4" s="3540"/>
      <c r="M4" s="3539"/>
      <c r="N4" s="3539"/>
      <c r="O4" s="3539"/>
      <c r="P4" s="3540"/>
      <c r="Q4" s="3540"/>
      <c r="R4" s="3540"/>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21822.21</v>
      </c>
      <c r="O5" s="1503">
        <f>项目基本情况!C21</f>
        <v>72618.101999999999</v>
      </c>
      <c r="P5" s="1503">
        <f ca="1">结果表!E42</f>
        <v>127113</v>
      </c>
      <c r="Q5" s="1503">
        <f ca="1">结果表!D42</f>
        <v>38198</v>
      </c>
      <c r="R5" s="1504">
        <f ca="1">结果表!C42</f>
        <v>277389</v>
      </c>
    </row>
    <row r="6" spans="1:18">
      <c r="A6" s="3542" t="str">
        <f>IF(项目基本情况!B9="市场价格","——","抵押价格")</f>
        <v>抵押价格</v>
      </c>
      <c r="B6" s="3543"/>
      <c r="C6" s="3543"/>
      <c r="D6" s="3543"/>
      <c r="E6" s="3543"/>
      <c r="F6" s="3543"/>
      <c r="G6" s="3543"/>
      <c r="H6" s="3543"/>
      <c r="I6" s="3543"/>
      <c r="J6" s="3543"/>
      <c r="K6" s="3543"/>
      <c r="L6" s="3543"/>
      <c r="M6" s="3543"/>
      <c r="N6" s="3543"/>
      <c r="O6" s="3543"/>
      <c r="P6" s="3543"/>
      <c r="Q6" s="3544"/>
      <c r="R6" s="1505">
        <f ca="1">结果表!O39</f>
        <v>274410</v>
      </c>
    </row>
    <row r="7" spans="1:18">
      <c r="A7" s="3542" t="str">
        <f>IF(项目基本情况!B9="市场价格","——",IF(项目基本情况!E8="已注销及未注销","抵押担保权已注销时的抵押价格","——"))</f>
        <v>——</v>
      </c>
      <c r="B7" s="3543"/>
      <c r="C7" s="3543"/>
      <c r="D7" s="3543"/>
      <c r="E7" s="3543"/>
      <c r="F7" s="3543"/>
      <c r="G7" s="3543"/>
      <c r="H7" s="3543"/>
      <c r="I7" s="3543"/>
      <c r="J7" s="3543"/>
      <c r="K7" s="3543"/>
      <c r="L7" s="3543"/>
      <c r="M7" s="3543"/>
      <c r="N7" s="3543"/>
      <c r="O7" s="3543"/>
      <c r="P7" s="3543"/>
      <c r="Q7" s="3544"/>
      <c r="R7" s="1505" t="str">
        <f>结果表!O40</f>
        <v>——</v>
      </c>
    </row>
    <row r="8" spans="1:18">
      <c r="A8" s="3542">
        <f>IF(项目基本情况!B9="市场价格","——",项目基本情况!E9)</f>
        <v>0</v>
      </c>
      <c r="B8" s="3543"/>
      <c r="C8" s="3543"/>
      <c r="D8" s="3543"/>
      <c r="E8" s="3543"/>
      <c r="F8" s="3543"/>
      <c r="G8" s="3543"/>
      <c r="H8" s="3543"/>
      <c r="I8" s="3543"/>
      <c r="J8" s="3543"/>
      <c r="K8" s="3543"/>
      <c r="L8" s="3543"/>
      <c r="M8" s="3543"/>
      <c r="N8" s="3543"/>
      <c r="O8" s="3543"/>
      <c r="P8" s="3543"/>
      <c r="Q8" s="3544"/>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5" t="s">
        <v>1583</v>
      </c>
      <c r="B1" s="3545"/>
      <c r="C1" s="3545"/>
      <c r="D1" s="3545"/>
    </row>
    <row r="2" spans="1:4" ht="47.25" customHeight="1">
      <c r="A2" s="3548" t="str">
        <f>"1.权利限制："&amp;项目基本情况!L24&amp;"未设定租赁等其他他项权利。"</f>
        <v>1.权利限制：根据估价对象《不动产权证书》原件、《国有土地使用权》复印件，截至估价期日，估价对象抵押权未见登记。未设定租赁等其他他项权利。</v>
      </c>
      <c r="B2" s="3548"/>
      <c r="C2" s="3548"/>
      <c r="D2" s="3548"/>
    </row>
    <row r="3" spans="1:4" ht="48" customHeight="1">
      <c r="A3" s="35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5"/>
      <c r="C3" s="3545"/>
      <c r="D3" s="3545"/>
    </row>
    <row r="4" spans="1:4" ht="36.75" customHeight="1">
      <c r="A4" s="3545" t="str">
        <f>"3.估价规划限制条件：详见"&amp;项目基本情况!E21&amp;"。"</f>
        <v>3.估价规划限制条件：详见《建设工程规划许可证》[]、《出让合同》[]。</v>
      </c>
      <c r="B4" s="3545"/>
      <c r="C4" s="3545"/>
      <c r="D4" s="3545"/>
    </row>
    <row r="5" spans="1:4">
      <c r="A5" s="3547" t="s">
        <v>1584</v>
      </c>
      <c r="B5" s="3547"/>
      <c r="C5" s="3547"/>
      <c r="D5" s="3547"/>
    </row>
    <row r="6" spans="1:4">
      <c r="A6" s="3545" t="s">
        <v>1562</v>
      </c>
      <c r="B6" s="3545"/>
      <c r="C6" s="3545"/>
      <c r="D6" s="3545"/>
    </row>
    <row r="7" spans="1:4" ht="33" customHeight="1">
      <c r="A7" s="3545" t="s">
        <v>1857</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5"/>
      <c r="C8" s="3545"/>
      <c r="D8" s="3545"/>
    </row>
    <row r="9" spans="1:4" ht="33.75" customHeight="1">
      <c r="A9" s="35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5"/>
      <c r="C9" s="3545"/>
      <c r="D9" s="3545"/>
    </row>
    <row r="10" spans="1:4">
      <c r="A10" s="3545" t="str">
        <f>IF(项目基本情况!B8="抵押","4.估价师所知悉的法定优先受偿款情况为：","——")</f>
        <v>4.估价师所知悉的法定优先受偿款情况为：</v>
      </c>
      <c r="B10" s="3545"/>
      <c r="C10" s="3545"/>
      <c r="D10" s="3545"/>
    </row>
    <row r="11" spans="1:4" ht="37.5" customHeight="1">
      <c r="A11" s="35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5"/>
      <c r="C11" s="3545"/>
      <c r="D11" s="3545"/>
    </row>
    <row r="12" spans="1:4" ht="168" customHeight="1">
      <c r="A12" s="3547" t="s">
        <v>1586</v>
      </c>
      <c r="B12" s="3547"/>
      <c r="C12" s="3547"/>
      <c r="D12" s="3547"/>
    </row>
    <row r="13" spans="1:4">
      <c r="A13" s="3546" t="s">
        <v>2028</v>
      </c>
      <c r="B13" s="3546"/>
      <c r="C13" s="3546"/>
      <c r="D13" s="3546"/>
    </row>
    <row r="14" spans="1:4">
      <c r="A14" s="3545" t="str">
        <f>IF(项目基本情况!B8="抵押","综上，"&amp;结果表!K47,"——")</f>
        <v>综上，本次评估估价师知悉的法定优先受偿款为人民币2979万元整。</v>
      </c>
      <c r="B14" s="3545"/>
      <c r="C14" s="3545"/>
      <c r="D14" s="3545"/>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1984</v>
      </c>
      <c r="B17" s="3545"/>
      <c r="C17" s="3545"/>
      <c r="D17" s="3545"/>
    </row>
    <row r="18" spans="1:4">
      <c r="A18" s="3545" t="s">
        <v>1976</v>
      </c>
      <c r="B18" s="3545"/>
      <c r="C18" s="3545"/>
      <c r="D18" s="3545"/>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5" t="s">
        <v>1981</v>
      </c>
      <c r="B23" s="3545"/>
      <c r="C23" s="3545"/>
      <c r="D23" s="3545"/>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6" t="s">
        <v>27</v>
      </c>
      <c r="B15" s="3557" t="s">
        <v>784</v>
      </c>
      <c r="C15" s="3553"/>
    </row>
    <row r="16" spans="1:7" ht="14.25">
      <c r="A16" s="3556"/>
      <c r="B16" s="3554" t="s">
        <v>28</v>
      </c>
      <c r="C16" s="1014" t="s">
        <v>27</v>
      </c>
    </row>
    <row r="17" spans="1:3" ht="14.25">
      <c r="A17" s="3556"/>
      <c r="B17" s="3554"/>
      <c r="C17" s="1014" t="s">
        <v>29</v>
      </c>
    </row>
    <row r="18" spans="1:3" ht="14.25">
      <c r="A18" s="3556"/>
      <c r="B18" s="3554"/>
      <c r="C18" s="1014" t="s">
        <v>30</v>
      </c>
    </row>
    <row r="19" spans="1:3" ht="14.25">
      <c r="A19" s="3556"/>
      <c r="B19" s="3552" t="s">
        <v>31</v>
      </c>
      <c r="C19" s="3553"/>
    </row>
    <row r="20" spans="1:3" ht="14.25">
      <c r="A20" s="1015" t="s">
        <v>32</v>
      </c>
      <c r="B20" s="1016"/>
      <c r="C20" s="1017"/>
    </row>
    <row r="21" spans="1:3" ht="14.25">
      <c r="A21" s="3555" t="s">
        <v>33</v>
      </c>
      <c r="B21" s="3552" t="s">
        <v>34</v>
      </c>
      <c r="C21" s="3553"/>
    </row>
    <row r="22" spans="1:3" ht="14.25">
      <c r="A22" s="3555"/>
      <c r="B22" s="3552" t="s">
        <v>35</v>
      </c>
      <c r="C22" s="3553"/>
    </row>
    <row r="23" spans="1:3" ht="14.25">
      <c r="A23" s="3555"/>
      <c r="B23" s="3552" t="s">
        <v>36</v>
      </c>
      <c r="C23" s="3553"/>
    </row>
    <row r="24" spans="1:3" ht="14.25">
      <c r="A24" s="3555"/>
      <c r="B24" s="3558" t="s">
        <v>37</v>
      </c>
      <c r="C24" s="1018" t="s">
        <v>775</v>
      </c>
    </row>
    <row r="25" spans="1:3" ht="14.25">
      <c r="A25" s="3555"/>
      <c r="B25" s="3559"/>
      <c r="C25" s="1018" t="s">
        <v>776</v>
      </c>
    </row>
    <row r="26" spans="1:3" ht="14.25">
      <c r="A26" s="3555"/>
      <c r="B26" s="3559"/>
      <c r="C26" s="1018" t="s">
        <v>777</v>
      </c>
    </row>
    <row r="27" spans="1:3" ht="14.25">
      <c r="A27" s="3555"/>
      <c r="B27" s="3559"/>
      <c r="C27" s="1018" t="s">
        <v>778</v>
      </c>
    </row>
    <row r="28" spans="1:3" ht="14.25">
      <c r="A28" s="3555"/>
      <c r="B28" s="3559"/>
      <c r="C28" s="1018" t="s">
        <v>779</v>
      </c>
    </row>
    <row r="29" spans="1:3" ht="14.25">
      <c r="A29" s="3555"/>
      <c r="B29" s="3559"/>
      <c r="C29" s="1018" t="s">
        <v>780</v>
      </c>
    </row>
    <row r="30" spans="1:3" ht="14.25">
      <c r="A30" s="3555"/>
      <c r="B30" s="3559"/>
      <c r="C30" s="1018" t="s">
        <v>781</v>
      </c>
    </row>
    <row r="31" spans="1:3" ht="14.25">
      <c r="A31" s="3555"/>
      <c r="B31" s="3559"/>
      <c r="C31" s="1018" t="s">
        <v>782</v>
      </c>
    </row>
    <row r="32" spans="1:3" ht="14.25">
      <c r="A32" s="3555"/>
      <c r="B32" s="3559"/>
      <c r="C32" s="1018" t="s">
        <v>1181</v>
      </c>
    </row>
    <row r="33" spans="1:3" ht="14.25">
      <c r="A33" s="3555"/>
      <c r="B33" s="3549" t="s">
        <v>1187</v>
      </c>
      <c r="C33" s="1018" t="s">
        <v>1182</v>
      </c>
    </row>
    <row r="34" spans="1:3" ht="14.25">
      <c r="A34" s="3555"/>
      <c r="B34" s="3550"/>
      <c r="C34" s="1023" t="s">
        <v>1183</v>
      </c>
    </row>
    <row r="35" spans="1:3" ht="14.25">
      <c r="A35" s="3555"/>
      <c r="B35" s="3550"/>
      <c r="C35" s="1024" t="s">
        <v>1184</v>
      </c>
    </row>
    <row r="36" spans="1:3" ht="14.25">
      <c r="A36" s="3555"/>
      <c r="B36" s="3550"/>
      <c r="C36" s="1024" t="s">
        <v>1185</v>
      </c>
    </row>
    <row r="37" spans="1:3" ht="14.25">
      <c r="A37" s="3555"/>
      <c r="B37" s="3551"/>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45624</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563" t="s">
        <v>1448</v>
      </c>
      <c r="B18" s="3564"/>
      <c r="C18" s="3564"/>
      <c r="D18" s="3564"/>
      <c r="E18" s="3564"/>
      <c r="F18" s="3564"/>
      <c r="G18" s="2558"/>
    </row>
    <row r="19" spans="1:7" ht="20.25" customHeight="1">
      <c r="A19" s="3560" t="s">
        <v>1449</v>
      </c>
      <c r="B19" s="3560"/>
      <c r="C19" s="3561"/>
      <c r="D19" s="3562" t="s">
        <v>1450</v>
      </c>
      <c r="E19" s="3560"/>
      <c r="F19" s="3560"/>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78" t="s">
        <v>2737</v>
      </c>
      <c r="I8" s="7" t="s">
        <v>2744</v>
      </c>
    </row>
    <row r="9" spans="1:23">
      <c r="A9" s="6" t="s">
        <v>77</v>
      </c>
      <c r="B9" s="6" t="s">
        <v>122</v>
      </c>
      <c r="C9" s="1292" t="s">
        <v>1245</v>
      </c>
      <c r="F9" s="7" t="s">
        <v>78</v>
      </c>
      <c r="H9" s="7"/>
      <c r="I9" s="7" t="s">
        <v>2745</v>
      </c>
    </row>
    <row r="10" spans="1:23">
      <c r="A10" s="6" t="s">
        <v>79</v>
      </c>
      <c r="B10" s="6" t="s">
        <v>123</v>
      </c>
      <c r="C10" s="1292" t="s">
        <v>1246</v>
      </c>
      <c r="F10" s="3078"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2253</v>
      </c>
      <c r="C20" s="1294"/>
    </row>
    <row r="21" spans="1:3">
      <c r="A21" s="6" t="s">
        <v>90</v>
      </c>
      <c r="B21" s="6" t="s">
        <v>2431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5"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5"/>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5"/>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5"/>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5"/>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2024-11-28T04:27:46Z</dcterms:modified>
</cp:coreProperties>
</file>