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35" yWindow="90" windowWidth="13155" windowHeight="1269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r:id="rId22"/>
    <sheet name="基准地价修正" sheetId="43" r:id="rId23"/>
    <sheet name="基准地价修正办" sheetId="81"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收益法办" sheetId="82" r:id="rId33"/>
    <sheet name="收益法车" sheetId="83"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25">假设开发法!$A$1:$K$32</definedName>
    <definedName name="_xlnm.Print_Area" localSheetId="18">结果表!$A$1:$I$127</definedName>
    <definedName name="_xlnm.Print_Area" localSheetId="43">区片价!$A$3:$H$36</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2">收益法办!$A$1:$F$43,收益法办!$H$3:$M$29,收益法办!$A$46:$F$71,收益法办!$I$46:$N$65</definedName>
    <definedName name="_xlnm.Print_Area" localSheetId="33">收益法车!$A$1:$F$43,收益法车!$H$3:$M$29,收益法车!$A$46:$F$71,收益法车!$I$46:$N$65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3">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5" i="9" l="1"/>
  <c r="E105" i="34" l="1"/>
  <c r="F105" i="34" s="1"/>
  <c r="G105" i="34" s="1"/>
  <c r="C31" i="80" l="1"/>
  <c r="F123" i="34" l="1"/>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L8" i="1"/>
  <c r="L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AL7" i="1"/>
  <c r="AL8" i="1" s="1"/>
  <c r="AK7" i="1"/>
  <c r="Y6" i="1"/>
  <c r="N7" i="1"/>
  <c r="N8" i="1" s="1"/>
  <c r="Y8" i="1" s="1"/>
  <c r="B35" i="1"/>
  <c r="F17" i="82" s="1"/>
  <c r="M41" i="3"/>
  <c r="M40" i="3"/>
  <c r="O39" i="3"/>
  <c r="K25" i="3"/>
  <c r="K26" i="3"/>
  <c r="K27" i="3"/>
  <c r="K28" i="3"/>
  <c r="K29" i="3"/>
  <c r="K30" i="3"/>
  <c r="K31" i="3"/>
  <c r="K32" i="3"/>
  <c r="K33" i="3"/>
  <c r="K34" i="3"/>
  <c r="K35" i="3"/>
  <c r="K36" i="3"/>
  <c r="K37" i="3"/>
  <c r="K24" i="3"/>
  <c r="I20" i="3"/>
  <c r="I21" i="3"/>
  <c r="I22" i="3"/>
  <c r="I23" i="3"/>
  <c r="I19" i="3"/>
  <c r="I14" i="3"/>
  <c r="I15" i="3"/>
  <c r="I16" i="3"/>
  <c r="I17" i="3"/>
  <c r="I13" i="3"/>
  <c r="A3" i="3"/>
  <c r="K101" i="80"/>
  <c r="K100" i="80"/>
  <c r="K99" i="80"/>
  <c r="J97" i="80"/>
  <c r="K90" i="80"/>
  <c r="F86" i="80"/>
  <c r="E86" i="80"/>
  <c r="K106" i="80" s="1"/>
  <c r="D86" i="80"/>
  <c r="K83" i="80" s="1"/>
  <c r="L106" i="80" s="1"/>
  <c r="H85" i="80"/>
  <c r="F85" i="80"/>
  <c r="J94" i="80" s="1"/>
  <c r="D85" i="80"/>
  <c r="J103" i="80" s="1"/>
  <c r="F84" i="80"/>
  <c r="J93" i="80" s="1"/>
  <c r="E84" i="80"/>
  <c r="K102" i="80" s="1"/>
  <c r="D84" i="80"/>
  <c r="J102" i="80" s="1"/>
  <c r="F83" i="80"/>
  <c r="J92" i="80" s="1"/>
  <c r="D83" i="80"/>
  <c r="J101" i="80" s="1"/>
  <c r="G82" i="80"/>
  <c r="K91" i="80" s="1"/>
  <c r="F82" i="80"/>
  <c r="J91" i="80" s="1"/>
  <c r="D82" i="80"/>
  <c r="J100" i="80" s="1"/>
  <c r="F81" i="80"/>
  <c r="D81" i="80"/>
  <c r="J99" i="80" s="1"/>
  <c r="M80" i="80"/>
  <c r="H74" i="80"/>
  <c r="D67" i="80"/>
  <c r="E67" i="80" s="1"/>
  <c r="K52" i="80"/>
  <c r="J52" i="80" s="1"/>
  <c r="W52" i="80" s="1"/>
  <c r="H48" i="80"/>
  <c r="H49" i="80" s="1"/>
  <c r="H41" i="80"/>
  <c r="C36" i="80"/>
  <c r="C64" i="80" s="1"/>
  <c r="E64" i="80" s="1"/>
  <c r="H32" i="80"/>
  <c r="H31" i="80"/>
  <c r="K51" i="80" s="1"/>
  <c r="J51" i="80" s="1"/>
  <c r="H30" i="80"/>
  <c r="K47" i="80" s="1"/>
  <c r="J47" i="80" s="1"/>
  <c r="H29" i="80"/>
  <c r="K39" i="80" s="1"/>
  <c r="J39" i="80" s="1"/>
  <c r="H28" i="80"/>
  <c r="K45" i="80" s="1"/>
  <c r="J45" i="80" s="1"/>
  <c r="H27" i="80"/>
  <c r="K44" i="80" s="1"/>
  <c r="J44" i="80" s="1"/>
  <c r="H26" i="80"/>
  <c r="K43" i="80" s="1"/>
  <c r="J43" i="80" s="1"/>
  <c r="H24" i="80"/>
  <c r="K48" i="80" s="1"/>
  <c r="I16" i="80"/>
  <c r="I15" i="80"/>
  <c r="I14" i="80"/>
  <c r="I13" i="80"/>
  <c r="C9" i="80"/>
  <c r="D3" i="4"/>
  <c r="G14" i="73"/>
  <c r="F14" i="73"/>
  <c r="E14" i="73"/>
  <c r="C38" i="80" l="1"/>
  <c r="D62" i="81"/>
  <c r="C63" i="80"/>
  <c r="E63" i="80" s="1"/>
  <c r="N65" i="81"/>
  <c r="I12" i="80"/>
  <c r="L100" i="80"/>
  <c r="N100" i="80" s="1"/>
  <c r="G83" i="80"/>
  <c r="K92" i="80" s="1"/>
  <c r="L92" i="80" s="1"/>
  <c r="N92" i="80" s="1"/>
  <c r="D63" i="81"/>
  <c r="D64" i="81"/>
  <c r="I18" i="80"/>
  <c r="K53" i="80"/>
  <c r="J53" i="80" s="1"/>
  <c r="W53" i="80" s="1"/>
  <c r="K36" i="80"/>
  <c r="J36" i="80" s="1"/>
  <c r="F88" i="80"/>
  <c r="E62" i="80"/>
  <c r="N1" i="81"/>
  <c r="F17" i="83"/>
  <c r="E50" i="81"/>
  <c r="B48" i="81" s="1"/>
  <c r="E61" i="81"/>
  <c r="B59" i="81" s="1"/>
  <c r="E72" i="81"/>
  <c r="B70" i="81" s="1"/>
  <c r="K37" i="80"/>
  <c r="J37" i="80" s="1"/>
  <c r="Y7" i="1"/>
  <c r="E83" i="81"/>
  <c r="B81" i="81" s="1"/>
  <c r="L101" i="80"/>
  <c r="N101" i="80" s="1"/>
  <c r="D22" i="83"/>
  <c r="D23" i="83"/>
  <c r="P61" i="83"/>
  <c r="D22" i="82"/>
  <c r="D23" i="82"/>
  <c r="P61" i="82"/>
  <c r="L21" i="81"/>
  <c r="M3" i="81"/>
  <c r="H83" i="81"/>
  <c r="H90" i="81"/>
  <c r="S5" i="81"/>
  <c r="G18" i="81"/>
  <c r="M1" i="81"/>
  <c r="M2" i="81"/>
  <c r="C6" i="81" s="1"/>
  <c r="M7" i="81"/>
  <c r="I18" i="81"/>
  <c r="H72" i="81"/>
  <c r="H79" i="81"/>
  <c r="H87" i="81"/>
  <c r="S4" i="81"/>
  <c r="S6" i="81"/>
  <c r="X7" i="81"/>
  <c r="H76" i="81"/>
  <c r="E10" i="81"/>
  <c r="E11" i="81"/>
  <c r="E8" i="81"/>
  <c r="E9" i="81"/>
  <c r="H101" i="81"/>
  <c r="H95" i="81"/>
  <c r="H98" i="81"/>
  <c r="H99" i="81"/>
  <c r="H96" i="81"/>
  <c r="H93" i="81"/>
  <c r="H97" i="81"/>
  <c r="N2" i="81"/>
  <c r="F61" i="81" s="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L91" i="80"/>
  <c r="N91" i="80" s="1"/>
  <c r="L99" i="80"/>
  <c r="J104" i="80"/>
  <c r="L102" i="80"/>
  <c r="N102" i="80" s="1"/>
  <c r="C62" i="80"/>
  <c r="D62" i="80" s="1"/>
  <c r="D88" i="80"/>
  <c r="M83" i="80"/>
  <c r="G84" i="80"/>
  <c r="E85" i="80"/>
  <c r="K103" i="80" s="1"/>
  <c r="L103" i="80" s="1"/>
  <c r="N103" i="80" s="1"/>
  <c r="J90" i="80"/>
  <c r="K38" i="80"/>
  <c r="J38" i="80" s="1"/>
  <c r="K46" i="80"/>
  <c r="J46" i="80" s="1"/>
  <c r="J48" i="80"/>
  <c r="K40" i="80"/>
  <c r="J40"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28" i="81" l="1"/>
  <c r="E88" i="80"/>
  <c r="H68" i="81"/>
  <c r="H67" i="81"/>
  <c r="H64" i="81"/>
  <c r="H61" i="81"/>
  <c r="H63" i="81"/>
  <c r="H66" i="81"/>
  <c r="H69" i="81"/>
  <c r="H62" i="81"/>
  <c r="H65" i="81"/>
  <c r="E17" i="81"/>
  <c r="H57" i="81"/>
  <c r="H54" i="81"/>
  <c r="H51" i="81"/>
  <c r="H58" i="81"/>
  <c r="H52" i="81"/>
  <c r="H55" i="81"/>
  <c r="H53" i="81"/>
  <c r="H50" i="81"/>
  <c r="H56" i="81"/>
  <c r="G21" i="81"/>
  <c r="C20" i="81" s="1"/>
  <c r="C5" i="81" s="1"/>
  <c r="J95" i="80"/>
  <c r="L90" i="80"/>
  <c r="C68" i="80"/>
  <c r="C66" i="80"/>
  <c r="E66" i="80" s="1"/>
  <c r="C65" i="80"/>
  <c r="E65" i="80" s="1"/>
  <c r="L104" i="80"/>
  <c r="K82" i="80" s="1"/>
  <c r="M82" i="80" s="1"/>
  <c r="N99" i="80"/>
  <c r="N104" i="80" s="1"/>
  <c r="K93" i="80"/>
  <c r="L93" i="80" s="1"/>
  <c r="N93" i="80" s="1"/>
  <c r="G85" i="80"/>
  <c r="J55" i="80"/>
  <c r="J50" i="80" s="1"/>
  <c r="G15" i="73"/>
  <c r="F15" i="73"/>
  <c r="E15" i="73"/>
  <c r="G16" i="73"/>
  <c r="F16" i="73"/>
  <c r="E16" i="73"/>
  <c r="D5" i="81" l="1"/>
  <c r="K94" i="80"/>
  <c r="L94" i="80" s="1"/>
  <c r="N94" i="80" s="1"/>
  <c r="G88" i="80"/>
  <c r="H88" i="80" s="1"/>
  <c r="E68" i="80"/>
  <c r="D68" i="80" s="1"/>
  <c r="L95" i="80"/>
  <c r="K81" i="80" s="1"/>
  <c r="N90" i="80"/>
  <c r="N95" i="80" s="1"/>
  <c r="N106" i="80" s="1"/>
  <c r="AB32" i="79"/>
  <c r="AA32" i="79"/>
  <c r="Z32" i="79"/>
  <c r="N32" i="79"/>
  <c r="M32" i="79"/>
  <c r="P32" i="79" s="1"/>
  <c r="L32" i="79"/>
  <c r="I32" i="79"/>
  <c r="AC7" i="79"/>
  <c r="AB7" i="79"/>
  <c r="AA7" i="79"/>
  <c r="AD7" i="79" s="1"/>
  <c r="Z7" i="79"/>
  <c r="Y7" i="79"/>
  <c r="O7" i="79"/>
  <c r="N7" i="79"/>
  <c r="M7" i="79"/>
  <c r="P7" i="79" s="1"/>
  <c r="L7" i="79"/>
  <c r="K7" i="79"/>
  <c r="I7" i="79"/>
  <c r="G68" i="80" l="1"/>
  <c r="K84" i="80"/>
  <c r="M81" i="80"/>
  <c r="M84" i="8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B28" i="71"/>
  <c r="B27"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U25" i="40"/>
  <c r="W29" i="3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M5" i="3" s="1"/>
  <c r="F29" i="6"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J38" i="37" s="1"/>
  <c r="AC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H11" i="35" s="1"/>
  <c r="AB11" i="35" s="1"/>
  <c r="B61" i="35"/>
  <c r="B59" i="35"/>
  <c r="F12" i="35" s="1"/>
  <c r="B131" i="34"/>
  <c r="B129" i="34"/>
  <c r="J46" i="34" s="1"/>
  <c r="W46" i="34" s="1"/>
  <c r="B127" i="34"/>
  <c r="B99" i="34"/>
  <c r="J32" i="34" s="1"/>
  <c r="W32" i="34" s="1"/>
  <c r="B97" i="34"/>
  <c r="B95" i="34"/>
  <c r="J30" i="34" s="1"/>
  <c r="B93" i="34"/>
  <c r="B75" i="34"/>
  <c r="H14" i="34" s="1"/>
  <c r="B73" i="34"/>
  <c r="B71" i="34"/>
  <c r="H12" i="34" s="1"/>
  <c r="B130" i="33"/>
  <c r="J46" i="33" s="1"/>
  <c r="B128" i="33"/>
  <c r="B126" i="33"/>
  <c r="B98" i="33"/>
  <c r="J31" i="33" s="1"/>
  <c r="W31" i="33" s="1"/>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15" i="40" s="1"/>
  <c r="C24" i="20"/>
  <c r="B75" i="43"/>
  <c r="C21" i="20"/>
  <c r="C20" i="20"/>
  <c r="B69" i="43" s="1"/>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H31" i="21"/>
  <c r="B96" i="2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1"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42" i="81" s="1"/>
  <c r="H42" i="81" s="1"/>
  <c r="N5" i="3"/>
  <c r="O5" i="3"/>
  <c r="G19" i="6" s="1"/>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J44" i="39"/>
  <c r="AC44" i="39"/>
  <c r="F103" i="37"/>
  <c r="G103" i="37" s="1"/>
  <c r="H103" i="37" s="1"/>
  <c r="I103" i="37" s="1"/>
  <c r="J103" i="37" s="1"/>
  <c r="K103" i="37" s="1"/>
  <c r="L103" i="37" s="1"/>
  <c r="M103" i="37" s="1"/>
  <c r="F29" i="36"/>
  <c r="AA29" i="36" s="1"/>
  <c r="F16" i="36"/>
  <c r="AA16" i="36" s="1"/>
  <c r="U31" i="36"/>
  <c r="J33" i="36"/>
  <c r="AC33" i="36" s="1"/>
  <c r="H22" i="35"/>
  <c r="AB22" i="35" s="1"/>
  <c r="F36" i="34"/>
  <c r="S36" i="34" s="1"/>
  <c r="J35" i="34"/>
  <c r="AC35" i="34" s="1"/>
  <c r="H39" i="33"/>
  <c r="AB39" i="33" s="1"/>
  <c r="S40" i="33"/>
  <c r="W39" i="33"/>
  <c r="F11" i="40"/>
  <c r="AA11" i="40" s="1"/>
  <c r="H11" i="40"/>
  <c r="AB11" i="40" s="1"/>
  <c r="F42" i="39"/>
  <c r="AA42" i="39" s="1"/>
  <c r="F41" i="39"/>
  <c r="H40" i="39"/>
  <c r="AB40" i="39" s="1"/>
  <c r="H39" i="39"/>
  <c r="U39" i="39" s="1"/>
  <c r="S34" i="39"/>
  <c r="H34" i="39"/>
  <c r="H19" i="39"/>
  <c r="AB19" i="39" s="1"/>
  <c r="F19" i="39"/>
  <c r="AA19" i="39" s="1"/>
  <c r="H17" i="39"/>
  <c r="AB17" i="39" s="1"/>
  <c r="F17" i="39"/>
  <c r="J23" i="40"/>
  <c r="AC23" i="40" s="1"/>
  <c r="F21" i="40"/>
  <c r="AA21" i="40" s="1"/>
  <c r="J21" i="40"/>
  <c r="W21" i="40"/>
  <c r="H42" i="39"/>
  <c r="AB42" i="39" s="1"/>
  <c r="J34" i="39"/>
  <c r="AC34" i="39" s="1"/>
  <c r="F108" i="39"/>
  <c r="G108" i="39" s="1"/>
  <c r="H108" i="39" s="1"/>
  <c r="I108" i="39" s="1"/>
  <c r="J108" i="39" s="1"/>
  <c r="K108" i="39" s="1"/>
  <c r="L108" i="39" s="1"/>
  <c r="M108" i="39" s="1"/>
  <c r="J31" i="39"/>
  <c r="W31" i="39" s="1"/>
  <c r="H27" i="39"/>
  <c r="J19" i="39"/>
  <c r="AC19" i="39" s="1"/>
  <c r="J17" i="39"/>
  <c r="J27" i="39"/>
  <c r="AC27" i="39" s="1"/>
  <c r="F27" i="39"/>
  <c r="F11" i="21"/>
  <c r="S11" i="21" s="1"/>
  <c r="S40" i="21"/>
  <c r="H11" i="39"/>
  <c r="AB11" i="39" s="1"/>
  <c r="H32" i="33"/>
  <c r="AB32" i="33"/>
  <c r="H11" i="21"/>
  <c r="U11" i="21" s="1"/>
  <c r="J11" i="21"/>
  <c r="W11" i="21" s="1"/>
  <c r="H37" i="40"/>
  <c r="U37" i="40"/>
  <c r="H36" i="40"/>
  <c r="F35" i="40"/>
  <c r="AA35" i="40" s="1"/>
  <c r="H23" i="40"/>
  <c r="AB23" i="40" s="1"/>
  <c r="H17" i="40"/>
  <c r="U17" i="40" s="1"/>
  <c r="J15" i="40"/>
  <c r="J11" i="40"/>
  <c r="AC11" i="40" s="1"/>
  <c r="W11" i="40"/>
  <c r="AB12" i="36"/>
  <c r="W32" i="40"/>
  <c r="F37" i="39"/>
  <c r="AA37" i="39" s="1"/>
  <c r="J30" i="35"/>
  <c r="W30" i="35" s="1"/>
  <c r="H30" i="35"/>
  <c r="AB30" i="35" s="1"/>
  <c r="F22" i="35"/>
  <c r="AA22" i="35" s="1"/>
  <c r="H10" i="35"/>
  <c r="U10" i="35" s="1"/>
  <c r="F33" i="36"/>
  <c r="AA33" i="36" s="1"/>
  <c r="H16" i="36"/>
  <c r="AB16" i="36" s="1"/>
  <c r="J29" i="36"/>
  <c r="AC29" i="36" s="1"/>
  <c r="F12" i="36"/>
  <c r="S12" i="36" s="1"/>
  <c r="F24" i="36"/>
  <c r="AA24" i="36" s="1"/>
  <c r="F14" i="35"/>
  <c r="AA14" i="35" s="1"/>
  <c r="J32" i="35"/>
  <c r="AC32" i="35" s="1"/>
  <c r="J16" i="35"/>
  <c r="AC16" i="35" s="1"/>
  <c r="H16" i="35"/>
  <c r="U16" i="35"/>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25" i="34"/>
  <c r="S25" i="34" s="1"/>
  <c r="J23" i="34"/>
  <c r="AC23" i="34" s="1"/>
  <c r="H17" i="34"/>
  <c r="AB17" i="34" s="1"/>
  <c r="J28" i="34"/>
  <c r="F41" i="33"/>
  <c r="AA41" i="33"/>
  <c r="F32" i="33"/>
  <c r="AA32" i="33" s="1"/>
  <c r="J19" i="33"/>
  <c r="AC19" i="33" s="1"/>
  <c r="J15" i="33"/>
  <c r="AC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38" i="34"/>
  <c r="J37" i="34"/>
  <c r="AC37" i="34" s="1"/>
  <c r="J11" i="33"/>
  <c r="W11" i="33" s="1"/>
  <c r="I123" i="21"/>
  <c r="J123" i="21" s="1"/>
  <c r="K123" i="21" s="1"/>
  <c r="L123" i="21" s="1"/>
  <c r="M123" i="21"/>
  <c r="J42" i="21"/>
  <c r="AC42" i="21" s="1"/>
  <c r="H42" i="21"/>
  <c r="U42" i="21"/>
  <c r="J10" i="35"/>
  <c r="AC10" i="35" s="1"/>
  <c r="J14" i="21"/>
  <c r="W14" i="21" s="1"/>
  <c r="F14" i="21"/>
  <c r="S14" i="21" s="1"/>
  <c r="H14" i="21"/>
  <c r="U14" i="21" s="1"/>
  <c r="F28" i="21"/>
  <c r="AA28" i="21" s="1"/>
  <c r="J28" i="21"/>
  <c r="W28"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H31" i="33"/>
  <c r="J45" i="33"/>
  <c r="W45" i="33" s="1"/>
  <c r="J14" i="34"/>
  <c r="W14" i="34" s="1"/>
  <c r="F14" i="34"/>
  <c r="F30" i="34"/>
  <c r="S30" i="34" s="1"/>
  <c r="H32" i="34"/>
  <c r="AB32" i="34" s="1"/>
  <c r="F32" i="34"/>
  <c r="AA32" i="34" s="1"/>
  <c r="J11" i="35"/>
  <c r="W11" i="35" s="1"/>
  <c r="F11" i="35"/>
  <c r="S11" i="35" s="1"/>
  <c r="J26" i="36"/>
  <c r="W26" i="36" s="1"/>
  <c r="H28" i="36"/>
  <c r="U28" i="36" s="1"/>
  <c r="J11" i="36"/>
  <c r="AC11" i="36" s="1"/>
  <c r="H11" i="36"/>
  <c r="U11"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F14" i="33"/>
  <c r="S14" i="33" s="1"/>
  <c r="H30" i="33"/>
  <c r="AB30" i="33" s="1"/>
  <c r="F30" i="33"/>
  <c r="J30" i="33"/>
  <c r="H44" i="33"/>
  <c r="J44" i="33"/>
  <c r="W44" i="33" s="1"/>
  <c r="F44" i="33"/>
  <c r="S44" i="33" s="1"/>
  <c r="AC46" i="33"/>
  <c r="F46" i="33"/>
  <c r="AA46" i="33" s="1"/>
  <c r="H46" i="33"/>
  <c r="AB46" i="33" s="1"/>
  <c r="H13" i="34"/>
  <c r="U13" i="34" s="1"/>
  <c r="J13" i="34"/>
  <c r="W13" i="34" s="1"/>
  <c r="F13" i="34"/>
  <c r="AA13" i="34" s="1"/>
  <c r="J29" i="34"/>
  <c r="W29" i="34" s="1"/>
  <c r="F29" i="34"/>
  <c r="S29" i="34" s="1"/>
  <c r="H29" i="34"/>
  <c r="AB29" i="34" s="1"/>
  <c r="J31" i="34"/>
  <c r="H31" i="34"/>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H28" i="37"/>
  <c r="F38" i="37"/>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J14" i="40"/>
  <c r="W14" i="40" s="1"/>
  <c r="F14" i="40"/>
  <c r="J14" i="37"/>
  <c r="J27" i="37"/>
  <c r="AC27" i="37" s="1"/>
  <c r="U46" i="33"/>
  <c r="AA14" i="33"/>
  <c r="J36" i="37"/>
  <c r="AC36" i="37" s="1"/>
  <c r="J10" i="36"/>
  <c r="AC10" i="36" s="1"/>
  <c r="S11" i="36"/>
  <c r="AC28" i="21"/>
  <c r="F17" i="21"/>
  <c r="AA17" i="21" s="1"/>
  <c r="H17" i="21"/>
  <c r="AB17" i="21" s="1"/>
  <c r="F15" i="21"/>
  <c r="S15" i="21" s="1"/>
  <c r="J41" i="39"/>
  <c r="W41" i="39" s="1"/>
  <c r="W44" i="39"/>
  <c r="G544" i="3"/>
  <c r="G536" i="3"/>
  <c r="G531" i="3"/>
  <c r="G528" i="3"/>
  <c r="G523" i="3"/>
  <c r="G514" i="3"/>
  <c r="G508" i="3"/>
  <c r="G500" i="3"/>
  <c r="G584" i="3"/>
  <c r="G568" i="3"/>
  <c r="G560" i="3"/>
  <c r="G554" i="3"/>
  <c r="BL560" i="3"/>
  <c r="BL512" i="3"/>
  <c r="BL574" i="3"/>
  <c r="G529" i="3"/>
  <c r="BL496" i="3"/>
  <c r="G493" i="3"/>
  <c r="BA572" i="3"/>
  <c r="BA552" i="3"/>
  <c r="BA524" i="3"/>
  <c r="BA510" i="3"/>
  <c r="BA498" i="3"/>
  <c r="BA567" i="3"/>
  <c r="BA543" i="3"/>
  <c r="BA519" i="3"/>
  <c r="BA499" i="3"/>
  <c r="G579" i="3"/>
  <c r="G577" i="3"/>
  <c r="G571" i="3"/>
  <c r="G569" i="3"/>
  <c r="G563" i="3"/>
  <c r="G561" i="3"/>
  <c r="AC557" i="3"/>
  <c r="BQ557" i="3"/>
  <c r="BL557" i="3" s="1"/>
  <c r="BQ583" i="3"/>
  <c r="BQ581" i="3"/>
  <c r="BQ579" i="3"/>
  <c r="BQ577" i="3"/>
  <c r="BL577" i="3" s="1"/>
  <c r="BQ575" i="3"/>
  <c r="BQ573" i="3"/>
  <c r="BQ571" i="3"/>
  <c r="BQ569" i="3"/>
  <c r="BL569" i="3" s="1"/>
  <c r="BQ567" i="3"/>
  <c r="BQ565" i="3"/>
  <c r="BQ563" i="3"/>
  <c r="BL563" i="3" s="1"/>
  <c r="BQ561" i="3"/>
  <c r="BQ559" i="3"/>
  <c r="G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5" i="3"/>
  <c r="BQ519" i="3"/>
  <c r="BL519" i="3" s="1"/>
  <c r="BQ517" i="3"/>
  <c r="BQ515" i="3"/>
  <c r="BQ513" i="3"/>
  <c r="BL513" i="3"/>
  <c r="BQ511" i="3"/>
  <c r="AC509" i="3"/>
  <c r="BQ509" i="3"/>
  <c r="BL508"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F14" i="36"/>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F32" i="40"/>
  <c r="S32" i="40" s="1"/>
  <c r="H32" i="40"/>
  <c r="AB32" i="40" s="1"/>
  <c r="J36" i="40"/>
  <c r="W36" i="40" s="1"/>
  <c r="H19" i="37"/>
  <c r="AB19" i="37" s="1"/>
  <c r="H42" i="33"/>
  <c r="AB42" i="33" s="1"/>
  <c r="J43" i="33"/>
  <c r="AC43" i="33" s="1"/>
  <c r="S28" i="31"/>
  <c r="S27" i="31"/>
  <c r="S26" i="31"/>
  <c r="U14" i="40"/>
  <c r="AC36" i="34"/>
  <c r="U11" i="33"/>
  <c r="U19" i="21"/>
  <c r="AB38" i="21"/>
  <c r="F43" i="33"/>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U31" i="37" s="1"/>
  <c r="J15" i="37"/>
  <c r="W15" i="37" s="1"/>
  <c r="AT6"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BA379" i="3"/>
  <c r="BL380" i="3"/>
  <c r="G381" i="3"/>
  <c r="BA383" i="3"/>
  <c r="BL384" i="3"/>
  <c r="G385" i="3"/>
  <c r="BA387" i="3"/>
  <c r="BL388" i="3"/>
  <c r="G389" i="3"/>
  <c r="BA391" i="3"/>
  <c r="AZ391" i="3" s="1"/>
  <c r="BL392" i="3"/>
  <c r="G393" i="3"/>
  <c r="BJ5" i="3"/>
  <c r="G538" i="3"/>
  <c r="G502" i="3"/>
  <c r="BN5" i="3"/>
  <c r="BC5" i="3"/>
  <c r="G17" i="3"/>
  <c r="BA17" i="3"/>
  <c r="BA15" i="3"/>
  <c r="G509" i="3"/>
  <c r="BL493" i="3"/>
  <c r="AZ493" i="3" s="1"/>
  <c r="F83" i="43"/>
  <c r="H85" i="43" s="1"/>
  <c r="F50" i="43"/>
  <c r="H54" i="43" s="1"/>
  <c r="F72" i="43"/>
  <c r="H75" i="43" s="1"/>
  <c r="U17" i="39"/>
  <c r="S14" i="35"/>
  <c r="U43" i="21"/>
  <c r="U35" i="2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W27" i="34"/>
  <c r="AB33" i="36"/>
  <c r="U33" i="36"/>
  <c r="W12" i="39"/>
  <c r="W12" i="33"/>
  <c r="AC12" i="33"/>
  <c r="AA32" i="36"/>
  <c r="S32" i="36"/>
  <c r="BL14" i="3"/>
  <c r="U30" i="33"/>
  <c r="S19" i="39"/>
  <c r="F12" i="33"/>
  <c r="F39" i="40"/>
  <c r="AA39" i="40" s="1"/>
  <c r="BA14" i="3"/>
  <c r="B12" i="1"/>
  <c r="E12" i="1" s="1"/>
  <c r="B10" i="1"/>
  <c r="E10" i="1" s="1"/>
  <c r="K12" i="1"/>
  <c r="M12" i="1" s="1"/>
  <c r="S13" i="1"/>
  <c r="AR13" i="1" s="1"/>
  <c r="R13" i="1"/>
  <c r="J51" i="67"/>
  <c r="AC34" i="33"/>
  <c r="B41" i="1"/>
  <c r="F30" i="11" s="1"/>
  <c r="C48" i="11" s="1"/>
  <c r="AB37" i="40"/>
  <c r="S35" i="40"/>
  <c r="U35" i="40"/>
  <c r="W38" i="40"/>
  <c r="AA32" i="40"/>
  <c r="S17" i="40"/>
  <c r="S23" i="40"/>
  <c r="AC17" i="40"/>
  <c r="AB27" i="40"/>
  <c r="AA19" i="40"/>
  <c r="AB19" i="40"/>
  <c r="U37" i="39"/>
  <c r="S37" i="39"/>
  <c r="F32" i="39"/>
  <c r="AA32" i="39" s="1"/>
  <c r="F106" i="39"/>
  <c r="G106" i="39" s="1"/>
  <c r="H106" i="39" s="1"/>
  <c r="I106" i="39" s="1"/>
  <c r="J106" i="39" s="1"/>
  <c r="K106" i="39" s="1"/>
  <c r="L106" i="39" s="1"/>
  <c r="M106" i="39" s="1"/>
  <c r="U25" i="39"/>
  <c r="U31" i="39"/>
  <c r="J21" i="39"/>
  <c r="W21" i="39" s="1"/>
  <c r="F21" i="39"/>
  <c r="G94" i="39"/>
  <c r="H21" i="39"/>
  <c r="W19" i="39"/>
  <c r="U19" i="39"/>
  <c r="S15" i="39"/>
  <c r="S9" i="39"/>
  <c r="S23" i="36"/>
  <c r="U26" i="36"/>
  <c r="S33" i="36"/>
  <c r="AC26" i="36"/>
  <c r="AA22" i="36"/>
  <c r="W14" i="36"/>
  <c r="AB14" i="36"/>
  <c r="U22" i="36"/>
  <c r="S16" i="36"/>
  <c r="AA25" i="36"/>
  <c r="S24" i="36"/>
  <c r="U16" i="36"/>
  <c r="AA25" i="35"/>
  <c r="W24" i="35"/>
  <c r="AB13" i="35"/>
  <c r="U29" i="35"/>
  <c r="U28" i="35"/>
  <c r="AB27" i="35"/>
  <c r="U36" i="35"/>
  <c r="AA33" i="35"/>
  <c r="AC30" i="35"/>
  <c r="S32" i="35"/>
  <c r="AA36" i="35"/>
  <c r="S28" i="35"/>
  <c r="AB16" i="35"/>
  <c r="U22" i="35"/>
  <c r="S22" i="35"/>
  <c r="U14" i="35"/>
  <c r="AA11" i="35"/>
  <c r="AC9" i="35"/>
  <c r="W9" i="35"/>
  <c r="F9" i="35"/>
  <c r="S9" i="35" s="1"/>
  <c r="H9" i="35"/>
  <c r="U9" i="35" s="1"/>
  <c r="AB40" i="37"/>
  <c r="W27" i="37"/>
  <c r="AC29" i="37"/>
  <c r="U29" i="37"/>
  <c r="AB31" i="37"/>
  <c r="W30" i="37"/>
  <c r="S36" i="37"/>
  <c r="W38" i="37"/>
  <c r="AC35" i="37"/>
  <c r="S30" i="37"/>
  <c r="AC15" i="37"/>
  <c r="J17" i="37"/>
  <c r="W17" i="37" s="1"/>
  <c r="G73" i="37"/>
  <c r="F17" i="37"/>
  <c r="AA17" i="37" s="1"/>
  <c r="AB17" i="37"/>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AC42" i="34"/>
  <c r="AA45" i="34"/>
  <c r="U27"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W43" i="21"/>
  <c r="W36" i="21"/>
  <c r="W41" i="21"/>
  <c r="AA43" i="21"/>
  <c r="S39" i="21"/>
  <c r="AA38" i="21"/>
  <c r="AA36" i="21"/>
  <c r="AC40" i="21"/>
  <c r="J15" i="21"/>
  <c r="W15" i="21" s="1"/>
  <c r="F77" i="21"/>
  <c r="G77" i="21" s="1"/>
  <c r="F23" i="21"/>
  <c r="S23" i="21" s="1"/>
  <c r="E85" i="21"/>
  <c r="F85" i="21" s="1"/>
  <c r="G85" i="21" s="1"/>
  <c r="AA14" i="21"/>
  <c r="C18" i="9"/>
  <c r="D18" i="9" s="1"/>
  <c r="F34" i="15"/>
  <c r="F62" i="15" s="1"/>
  <c r="BA13" i="3"/>
  <c r="BL17" i="3"/>
  <c r="BL13" i="3"/>
  <c r="J56" i="9"/>
  <c r="J57" i="9" s="1"/>
  <c r="J59" i="9" s="1"/>
  <c r="J61" i="9" s="1"/>
  <c r="A24" i="51"/>
  <c r="B18" i="72"/>
  <c r="E5" i="6"/>
  <c r="E32" i="6"/>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W23"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U11" i="39"/>
  <c r="AA27" i="39"/>
  <c r="S27" i="39"/>
  <c r="W17" i="39"/>
  <c r="AC17" i="39"/>
  <c r="AA45" i="39"/>
  <c r="AB39" i="39"/>
  <c r="W34" i="39"/>
  <c r="U38" i="39"/>
  <c r="S8" i="39"/>
  <c r="S20" i="36"/>
  <c r="W29" i="36"/>
  <c r="AC20" i="36"/>
  <c r="U25" i="36"/>
  <c r="AB28" i="36"/>
  <c r="W22" i="36"/>
  <c r="AC25" i="35"/>
  <c r="U25" i="35"/>
  <c r="S24" i="35"/>
  <c r="S35" i="35"/>
  <c r="AA16" i="35"/>
  <c r="AA35" i="37"/>
  <c r="W36" i="37"/>
  <c r="S27" i="37"/>
  <c r="W32" i="37"/>
  <c r="U36" i="37"/>
  <c r="S40" i="37"/>
  <c r="AC34" i="37"/>
  <c r="AB35" i="37"/>
  <c r="AA31" i="37"/>
  <c r="U19" i="37"/>
  <c r="U8" i="37"/>
  <c r="AB40" i="34"/>
  <c r="AA30" i="34"/>
  <c r="AB45" i="34"/>
  <c r="AB47" i="34"/>
  <c r="U25" i="34"/>
  <c r="AC14" i="34"/>
  <c r="U38" i="34"/>
  <c r="AA36" i="34"/>
  <c r="AA8" i="34"/>
  <c r="S8" i="34"/>
  <c r="U14" i="34"/>
  <c r="AB14" i="34"/>
  <c r="AC43" i="34"/>
  <c r="W43" i="34"/>
  <c r="AC37" i="33"/>
  <c r="W46" i="33"/>
  <c r="U39" i="33"/>
  <c r="U38" i="33"/>
  <c r="S33" i="33"/>
  <c r="AB34" i="33"/>
  <c r="U44" i="33"/>
  <c r="AB44" i="33"/>
  <c r="S30" i="33"/>
  <c r="AA30" i="33"/>
  <c r="AC14" i="33"/>
  <c r="W14" i="33"/>
  <c r="AC30" i="33"/>
  <c r="W30" i="33"/>
  <c r="U15" i="33"/>
  <c r="S11" i="33"/>
  <c r="U37"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AA31" i="21"/>
  <c r="U17" i="21"/>
  <c r="S19" i="21"/>
  <c r="K141" i="21"/>
  <c r="K144" i="21"/>
  <c r="K143" i="21"/>
  <c r="U27" i="21"/>
  <c r="AB25" i="21"/>
  <c r="AB44" i="21"/>
  <c r="W13" i="21"/>
  <c r="W42" i="21"/>
  <c r="AC45" i="21"/>
  <c r="F10" i="21"/>
  <c r="AA10" i="21" s="1"/>
  <c r="K145" i="21"/>
  <c r="W25" i="21"/>
  <c r="W31" i="21"/>
  <c r="S17" i="21"/>
  <c r="AA15" i="21"/>
  <c r="AC27" i="21"/>
  <c r="AC26" i="21"/>
  <c r="S28" i="21"/>
  <c r="AC34" i="21"/>
  <c r="AB36" i="21"/>
  <c r="C19" i="39"/>
  <c r="C17" i="40"/>
  <c r="C23" i="40"/>
  <c r="C21" i="40"/>
  <c r="U30" i="40"/>
  <c r="B56" i="43"/>
  <c r="B67" i="43"/>
  <c r="B51" i="43"/>
  <c r="B54" i="43"/>
  <c r="B58" i="43"/>
  <c r="B62" i="43"/>
  <c r="B65" i="43"/>
  <c r="E4" i="4"/>
  <c r="B5" i="62" s="1"/>
  <c r="B73" i="72" s="1"/>
  <c r="C4" i="4"/>
  <c r="F28" i="67"/>
  <c r="F32" i="67"/>
  <c r="F60" i="67" s="1"/>
  <c r="F28" i="15"/>
  <c r="S39" i="40"/>
  <c r="S12" i="33"/>
  <c r="AA12" i="33"/>
  <c r="J32" i="39"/>
  <c r="H32" i="39"/>
  <c r="AB32" i="39" s="1"/>
  <c r="AB21"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W32" i="33"/>
  <c r="U27" i="33"/>
  <c r="AB27" i="33"/>
  <c r="G91" i="33"/>
  <c r="H91" i="33" s="1"/>
  <c r="I91" i="33" s="1"/>
  <c r="J91" i="33" s="1"/>
  <c r="K91" i="33" s="1"/>
  <c r="L91" i="33" s="1"/>
  <c r="M91" i="33" s="1"/>
  <c r="J27" i="33"/>
  <c r="W27" i="33" s="1"/>
  <c r="AA25" i="33"/>
  <c r="J25" i="33"/>
  <c r="W25" i="33" s="1"/>
  <c r="AB23" i="33"/>
  <c r="F23" i="33"/>
  <c r="AA19" i="33"/>
  <c r="H19" i="33"/>
  <c r="AB19" i="33" s="1"/>
  <c r="H17" i="33"/>
  <c r="U17" i="33" s="1"/>
  <c r="F17" i="33"/>
  <c r="S17" i="33" s="1"/>
  <c r="AA23" i="21"/>
  <c r="AB15" i="21"/>
  <c r="J23" i="21"/>
  <c r="AC23" i="21" s="1"/>
  <c r="H23" i="21"/>
  <c r="AB23" i="21" s="1"/>
  <c r="AP7" i="1"/>
  <c r="AB45" i="21"/>
  <c r="AA32" i="21"/>
  <c r="S32" i="21"/>
  <c r="AC32" i="39"/>
  <c r="W32" i="39"/>
  <c r="AC23" i="37"/>
  <c r="J11" i="37"/>
  <c r="AC11" i="37" s="1"/>
  <c r="J11" i="34"/>
  <c r="W11" i="34" s="1"/>
  <c r="AB36"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D6" i="73"/>
  <c r="E11" i="76"/>
  <c r="F5" i="73"/>
  <c r="B11" i="76"/>
  <c r="E8" i="76"/>
  <c r="B9" i="76"/>
  <c r="F20" i="31"/>
  <c r="E2" i="68"/>
  <c r="AO13" i="1"/>
  <c r="B10" i="76"/>
  <c r="F3" i="73"/>
  <c r="B8" i="76"/>
  <c r="B13" i="76"/>
  <c r="E13" i="76"/>
  <c r="E9" i="76"/>
  <c r="D34" i="9"/>
  <c r="B12" i="76"/>
  <c r="E12" i="76"/>
  <c r="E2" i="69"/>
  <c r="D35" i="9"/>
  <c r="F7" i="73"/>
  <c r="F6" i="73"/>
  <c r="F4" i="73"/>
  <c r="J51" i="15" l="1"/>
  <c r="AZ554" i="3"/>
  <c r="AZ51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AZ536"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U24" i="36"/>
  <c r="BB5" i="3"/>
  <c r="W27" i="39"/>
  <c r="W40" i="37"/>
  <c r="W44" i="21"/>
  <c r="U26" i="37"/>
  <c r="AB28" i="34"/>
  <c r="U28" i="34"/>
  <c r="BL495" i="3"/>
  <c r="BL503" i="3"/>
  <c r="BL511" i="3"/>
  <c r="BL517" i="3"/>
  <c r="BL529" i="3"/>
  <c r="BL535" i="3"/>
  <c r="W13" i="39"/>
  <c r="AC13" i="39"/>
  <c r="W13" i="37"/>
  <c r="AC13" i="37"/>
  <c r="S47" i="34"/>
  <c r="AA47" i="34"/>
  <c r="U14" i="33"/>
  <c r="AB14" i="33"/>
  <c r="S29" i="35"/>
  <c r="AA29" i="35"/>
  <c r="S40" i="39"/>
  <c r="U27" i="39"/>
  <c r="AB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E29" i="6" s="1"/>
  <c r="K15" i="1" s="1"/>
  <c r="AA37" i="37"/>
  <c r="S37" i="37"/>
  <c r="AZ497" i="3"/>
  <c r="AZ563" i="3"/>
  <c r="W15" i="40"/>
  <c r="AC15" i="40"/>
  <c r="AB36" i="40"/>
  <c r="U36" i="40"/>
  <c r="BA579" i="3"/>
  <c r="BA573" i="3"/>
  <c r="BA570" i="3"/>
  <c r="BA565" i="3"/>
  <c r="BL534" i="3"/>
  <c r="BA505" i="3"/>
  <c r="AZ505" i="3" s="1"/>
  <c r="AZ504" i="3"/>
  <c r="BL502" i="3"/>
  <c r="BR5" i="3"/>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BL419" i="3"/>
  <c r="G421" i="3"/>
  <c r="BL423" i="3"/>
  <c r="G447" i="3"/>
  <c r="BA458" i="3"/>
  <c r="G464" i="3"/>
  <c r="G582" i="3"/>
  <c r="G575" i="3"/>
  <c r="BA451" i="3"/>
  <c r="G492" i="3"/>
  <c r="W28" i="35"/>
  <c r="U9" i="39"/>
  <c r="H37" i="81"/>
  <c r="D37" i="43"/>
  <c r="F44" i="39"/>
  <c r="G552" i="3"/>
  <c r="BL528" i="3"/>
  <c r="AZ528" i="3" s="1"/>
  <c r="E19" i="6"/>
  <c r="K6" i="1" s="1"/>
  <c r="AP6" i="1" s="1"/>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E50" i="43" s="1"/>
  <c r="B48" i="43" s="1"/>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AZ217" i="3" s="1"/>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B12" i="39"/>
  <c r="AZ511" i="3"/>
  <c r="F46" i="34"/>
  <c r="B90" i="81"/>
  <c r="B90" i="43"/>
  <c r="F28" i="33"/>
  <c r="H28" i="33"/>
  <c r="J28" i="33"/>
  <c r="W27" i="35"/>
  <c r="AC27" i="35"/>
  <c r="G574" i="3"/>
  <c r="BA571" i="3"/>
  <c r="BL570" i="3"/>
  <c r="AC25" i="33"/>
  <c r="U9" i="21"/>
  <c r="S23" i="39"/>
  <c r="AZ17" i="3"/>
  <c r="AC5" i="3"/>
  <c r="AZ380" i="3"/>
  <c r="AZ356" i="3"/>
  <c r="AZ347" i="3"/>
  <c r="AZ378" i="3"/>
  <c r="AA11" i="39"/>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K8" i="1" s="1"/>
  <c r="M8" i="1" s="1"/>
  <c r="BL406" i="3"/>
  <c r="AZ406" i="3" s="1"/>
  <c r="BA419" i="3"/>
  <c r="AZ419" i="3" s="1"/>
  <c r="BA431" i="3"/>
  <c r="BA433" i="3"/>
  <c r="AZ433" i="3" s="1"/>
  <c r="BA435" i="3"/>
  <c r="BA444" i="3"/>
  <c r="AZ444" i="3" s="1"/>
  <c r="BL444" i="3"/>
  <c r="BL308" i="3"/>
  <c r="AZ308" i="3" s="1"/>
  <c r="BL316" i="3"/>
  <c r="BL340" i="3"/>
  <c r="AZ340" i="3" s="1"/>
  <c r="BA260" i="3"/>
  <c r="BA133" i="3"/>
  <c r="BA157" i="3"/>
  <c r="BA88" i="3"/>
  <c r="BL100" i="3"/>
  <c r="E20" i="6"/>
  <c r="K7" i="1" s="1"/>
  <c r="M7" i="1" s="1"/>
  <c r="BA402" i="3"/>
  <c r="BL430" i="3"/>
  <c r="BA456" i="3"/>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AZ175" i="3" s="1"/>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F34" i="68"/>
  <c r="O7" i="1"/>
  <c r="P7" i="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AZ125" i="3" s="1"/>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AZ19" i="3" s="1"/>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AZ18" i="3" s="1"/>
  <c r="BL21" i="3"/>
  <c r="G23" i="3"/>
  <c r="BL29" i="3"/>
  <c r="G33" i="3"/>
  <c r="G34" i="3"/>
  <c r="BA37" i="3"/>
  <c r="BL39" i="3"/>
  <c r="G43" i="3"/>
  <c r="G44" i="3"/>
  <c r="BA45" i="3"/>
  <c r="BA46" i="3"/>
  <c r="AZ46" i="3" s="1"/>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L54" i="3"/>
  <c r="BL55" i="3"/>
  <c r="AZ55" i="3" s="1"/>
  <c r="G57" i="3"/>
  <c r="G58" i="3"/>
  <c r="BA59" i="3"/>
  <c r="AZ59" i="3" s="1"/>
  <c r="G61" i="3"/>
  <c r="BL61" i="3"/>
  <c r="AZ61" i="3" s="1"/>
  <c r="G64" i="3"/>
  <c r="BA64" i="3"/>
  <c r="AZ64" i="3" s="1"/>
  <c r="BA68" i="3"/>
  <c r="BL74" i="3"/>
  <c r="G75" i="3"/>
  <c r="BL75" i="3"/>
  <c r="AZ75" i="3" s="1"/>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AZ92" i="3" s="1"/>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AZ30" i="3"/>
  <c r="BL36" i="3"/>
  <c r="AZ40" i="3"/>
  <c r="AZ68" i="3"/>
  <c r="AZ106" i="3"/>
  <c r="G200" i="3"/>
  <c r="G207" i="3"/>
  <c r="BA23" i="3"/>
  <c r="AZ23" i="3" s="1"/>
  <c r="BA24" i="3"/>
  <c r="AZ24" i="3" s="1"/>
  <c r="BL26" i="3"/>
  <c r="BL32" i="3"/>
  <c r="AZ32" i="3" s="1"/>
  <c r="BA34" i="3"/>
  <c r="AZ34" i="3" s="1"/>
  <c r="BA35" i="3"/>
  <c r="AZ35" i="3" s="1"/>
  <c r="BL37" i="3"/>
  <c r="BL42" i="3"/>
  <c r="AZ42" i="3" s="1"/>
  <c r="BA44" i="3"/>
  <c r="AZ44" i="3" s="1"/>
  <c r="AZ60" i="3"/>
  <c r="BA206" i="3"/>
  <c r="AZ206" i="3" s="1"/>
  <c r="BL22" i="3"/>
  <c r="BL33" i="3"/>
  <c r="AZ33" i="3" s="1"/>
  <c r="BL43" i="3"/>
  <c r="AZ43" i="3" s="1"/>
  <c r="BL46" i="3"/>
  <c r="AZ54" i="3"/>
  <c r="BL78" i="3"/>
  <c r="AZ78" i="3" s="1"/>
  <c r="BA83" i="3"/>
  <c r="AZ83" i="3" s="1"/>
  <c r="G91" i="3"/>
  <c r="BL95" i="3"/>
  <c r="AZ95" i="3" s="1"/>
  <c r="BL98" i="3"/>
  <c r="AZ98" i="3" s="1"/>
  <c r="BL109" i="3"/>
  <c r="AZ109" i="3" s="1"/>
  <c r="AB21" i="21"/>
  <c r="T36" i="71"/>
  <c r="G77" i="3"/>
  <c r="BA81" i="3"/>
  <c r="BA85" i="3"/>
  <c r="AZ85" i="3" s="1"/>
  <c r="BL89" i="3"/>
  <c r="AZ89" i="3" s="1"/>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L48" i="15"/>
  <c r="F9" i="15"/>
  <c r="F13" i="67"/>
  <c r="F40" i="15"/>
  <c r="D7" i="73"/>
  <c r="F26" i="15"/>
  <c r="M9" i="67"/>
  <c r="J15" i="67"/>
  <c r="M28" i="15"/>
  <c r="M24" i="67"/>
  <c r="L47" i="15"/>
  <c r="M22" i="67"/>
  <c r="F8" i="67"/>
  <c r="M8" i="15"/>
  <c r="F13" i="15"/>
  <c r="F40" i="67"/>
  <c r="M8" i="67"/>
  <c r="F37" i="15"/>
  <c r="F6" i="15"/>
  <c r="F43" i="15"/>
  <c r="M26" i="67"/>
  <c r="M29" i="15"/>
  <c r="M28" i="67"/>
  <c r="F42" i="67"/>
  <c r="F16" i="67"/>
  <c r="C76" i="15"/>
  <c r="J15" i="15"/>
  <c r="F26" i="67"/>
  <c r="L47" i="67"/>
  <c r="D4" i="73"/>
  <c r="F38" i="15"/>
  <c r="M24" i="15"/>
  <c r="F9" i="67"/>
  <c r="L48" i="67"/>
  <c r="M6" i="15"/>
  <c r="M23" i="67"/>
  <c r="M29" i="67"/>
  <c r="F8" i="15"/>
  <c r="F7" i="15"/>
  <c r="D3" i="73"/>
  <c r="M22" i="15"/>
  <c r="F43" i="67"/>
  <c r="F16" i="15"/>
  <c r="F38" i="67"/>
  <c r="F6" i="67"/>
  <c r="D5" i="73"/>
  <c r="M6" i="67"/>
  <c r="F42" i="15"/>
  <c r="F36" i="15"/>
  <c r="F36" i="67"/>
  <c r="F7" i="67"/>
  <c r="C76" i="67"/>
  <c r="M26" i="15"/>
  <c r="F37" i="67"/>
  <c r="M23" i="15"/>
  <c r="M9" i="15"/>
  <c r="G30" i="6" l="1"/>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C36" i="68"/>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G16" i="1" s="1"/>
  <c r="F10" i="39" s="1"/>
  <c r="S10" i="39" s="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31" i="12"/>
  <c r="C28" i="15"/>
  <c r="C77" i="9"/>
  <c r="C74" i="9" s="1"/>
  <c r="C48" i="69"/>
  <c r="C30" i="68"/>
  <c r="C30" i="69"/>
  <c r="F66" i="67"/>
  <c r="L58" i="67"/>
  <c r="Q60" i="67" s="1"/>
  <c r="L59" i="67"/>
  <c r="Q74" i="67" s="1"/>
  <c r="M59" i="67"/>
  <c r="N59" i="67"/>
  <c r="F50" i="67"/>
  <c r="M7" i="67"/>
  <c r="J6" i="67" s="1"/>
  <c r="J18" i="67" s="1"/>
  <c r="L56" i="67"/>
  <c r="J57" i="67"/>
  <c r="J55" i="67" s="1"/>
  <c r="J58" i="67" s="1"/>
  <c r="Q50" i="67" s="1"/>
  <c r="I54" i="67"/>
  <c r="J53" i="67"/>
  <c r="F1" i="67" s="1"/>
  <c r="C27" i="67"/>
  <c r="F65" i="67"/>
  <c r="F71" i="67"/>
  <c r="C6" i="67"/>
  <c r="C32" i="67" s="1"/>
  <c r="F51" i="67"/>
  <c r="F68" i="67"/>
  <c r="Q71" i="67"/>
  <c r="F64" i="67"/>
  <c r="F51" i="15"/>
  <c r="F50" i="15"/>
  <c r="M7" i="15"/>
  <c r="J6" i="15" s="1"/>
  <c r="J18" i="15" s="1"/>
  <c r="F68" i="15"/>
  <c r="F65" i="15"/>
  <c r="F64" i="15"/>
  <c r="Q71" i="15"/>
  <c r="C27" i="15"/>
  <c r="F71" i="15"/>
  <c r="L59" i="15"/>
  <c r="Q61" i="15" s="1"/>
  <c r="M59" i="15"/>
  <c r="N59" i="15"/>
  <c r="L58" i="15"/>
  <c r="Q60" i="15" s="1"/>
  <c r="F66" i="15"/>
  <c r="J57" i="15"/>
  <c r="J55" i="15" s="1"/>
  <c r="J58" i="15" s="1"/>
  <c r="Q50" i="15" s="1"/>
  <c r="J53" i="15"/>
  <c r="L56" i="15" s="1"/>
  <c r="I54" i="15"/>
  <c r="C6" i="15"/>
  <c r="C32" i="15" s="1"/>
  <c r="AZ41" i="3"/>
  <c r="E59" i="40"/>
  <c r="AZ31" i="3"/>
  <c r="AZ37" i="3"/>
  <c r="AZ26" i="3"/>
  <c r="H16" i="1"/>
  <c r="Q16" i="1"/>
  <c r="F27" i="69" s="1"/>
  <c r="C47" i="69" s="1"/>
  <c r="D45" i="69" s="1"/>
  <c r="P6" i="1"/>
  <c r="C13" i="12" s="1"/>
  <c r="E28" i="6"/>
  <c r="K14" i="1" s="1"/>
  <c r="K16" i="1" s="1"/>
  <c r="E26" i="43"/>
  <c r="H26" i="43"/>
  <c r="G26" i="43"/>
  <c r="N370" i="46"/>
  <c r="F26" i="43"/>
  <c r="N94" i="46"/>
  <c r="J7" i="36"/>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E36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E69" i="39"/>
  <c r="F59" i="67"/>
  <c r="H7" i="37"/>
  <c r="AB7" i="37" s="1"/>
  <c r="T42" i="37" s="1"/>
  <c r="G42" i="37" s="1"/>
  <c r="H7" i="33"/>
  <c r="J7" i="33"/>
  <c r="D65" i="40"/>
  <c r="E63" i="40"/>
  <c r="F48" i="35"/>
  <c r="S7" i="36"/>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L48" i="82"/>
  <c r="M6" i="83"/>
  <c r="F6" i="82"/>
  <c r="C76" i="83"/>
  <c r="F8" i="82"/>
  <c r="M24" i="83"/>
  <c r="M28" i="83"/>
  <c r="M29" i="82"/>
  <c r="F42" i="82"/>
  <c r="M28" i="82"/>
  <c r="F9" i="83"/>
  <c r="M22" i="82"/>
  <c r="M8" i="82"/>
  <c r="F16" i="82"/>
  <c r="J15" i="83"/>
  <c r="C16" i="15"/>
  <c r="F41" i="67"/>
  <c r="F6" i="83"/>
  <c r="M24" i="82"/>
  <c r="F8" i="83"/>
  <c r="F37" i="82"/>
  <c r="F7" i="83"/>
  <c r="M6" i="82"/>
  <c r="F40" i="83"/>
  <c r="C16" i="67"/>
  <c r="M9" i="82"/>
  <c r="F36" i="82"/>
  <c r="F16" i="83"/>
  <c r="C76" i="82"/>
  <c r="M8" i="83"/>
  <c r="L47" i="82"/>
  <c r="F13" i="83"/>
  <c r="F42" i="83"/>
  <c r="F26" i="83"/>
  <c r="F38" i="82"/>
  <c r="F36" i="83"/>
  <c r="F43" i="82"/>
  <c r="M29" i="83"/>
  <c r="M9" i="83"/>
  <c r="J15" i="82"/>
  <c r="F9" i="82"/>
  <c r="F7" i="82"/>
  <c r="F40" i="82"/>
  <c r="F13" i="82"/>
  <c r="F38" i="83"/>
  <c r="F26" i="82"/>
  <c r="M26" i="82"/>
  <c r="F43" i="83"/>
  <c r="M23" i="83"/>
  <c r="L47" i="83"/>
  <c r="F37" i="83"/>
  <c r="L48" i="83"/>
  <c r="M23" i="82"/>
  <c r="M22" i="83"/>
  <c r="M26" i="83"/>
  <c r="G1" i="73"/>
  <c r="AZ5" i="3" l="1"/>
  <c r="W7" i="37"/>
  <c r="F64" i="83"/>
  <c r="F51" i="83"/>
  <c r="F51" i="82"/>
  <c r="F66" i="82"/>
  <c r="F68" i="83"/>
  <c r="F65" i="83"/>
  <c r="F71" i="82"/>
  <c r="C27" i="82"/>
  <c r="L59" i="82"/>
  <c r="N59" i="82"/>
  <c r="L58" i="82"/>
  <c r="M59"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M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J5" i="15"/>
  <c r="J24" i="15" s="1"/>
  <c r="C49" i="15"/>
  <c r="C49" i="67"/>
  <c r="Q61" i="67"/>
  <c r="AA10" i="39"/>
  <c r="J10" i="39"/>
  <c r="W10" i="39" s="1"/>
  <c r="F10" i="40"/>
  <c r="S10" i="40" s="1"/>
  <c r="Q73" i="15"/>
  <c r="H10" i="39"/>
  <c r="U10" i="39" s="1"/>
  <c r="H10" i="40"/>
  <c r="AB10" i="40" s="1"/>
  <c r="J10" i="40"/>
  <c r="AC10" i="40" s="1"/>
  <c r="F27" i="68"/>
  <c r="C47" i="68" s="1"/>
  <c r="D45" i="68" s="1"/>
  <c r="C29" i="69"/>
  <c r="D27" i="69" s="1"/>
  <c r="F28" i="12"/>
  <c r="C29" i="12" s="1"/>
  <c r="D28" i="12" s="1"/>
  <c r="F45" i="69"/>
  <c r="F27" i="11"/>
  <c r="C29" i="11" s="1"/>
  <c r="D27"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AY6" i="3"/>
  <c r="AY260" i="3" s="1"/>
  <c r="E3" i="6"/>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360" i="3"/>
  <c r="AY308" i="3"/>
  <c r="AY306" i="3"/>
  <c r="AY564" i="3"/>
  <c r="AY538" i="3"/>
  <c r="AY359" i="3"/>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AE6" i="1"/>
  <c r="M27" i="83"/>
  <c r="M27" i="67"/>
  <c r="M27" i="82"/>
  <c r="C16" i="82"/>
  <c r="M27" i="15"/>
  <c r="C16" i="83"/>
  <c r="C17" i="83"/>
  <c r="D14" i="12" l="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F24" i="82"/>
  <c r="F24" i="83"/>
  <c r="C38" i="83"/>
  <c r="C38" i="82"/>
  <c r="L36" i="43"/>
  <c r="L37" i="43" s="1"/>
  <c r="O37" i="43" s="1"/>
  <c r="L36" i="81"/>
  <c r="C48" i="15"/>
  <c r="C66" i="15" s="1"/>
  <c r="C48" i="67"/>
  <c r="C66" i="67" s="1"/>
  <c r="F22" i="69"/>
  <c r="F41" i="69" s="1"/>
  <c r="F24" i="15"/>
  <c r="C24" i="15" s="1"/>
  <c r="AA10" i="40"/>
  <c r="C29" i="68"/>
  <c r="D27" i="68" s="1"/>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C28" i="11" s="1"/>
  <c r="C27" i="11" s="1"/>
  <c r="D3" i="33"/>
  <c r="D3" i="34"/>
  <c r="E6" i="6"/>
  <c r="D20" i="12" s="1"/>
  <c r="C20" i="12" s="1"/>
  <c r="H6" i="3"/>
  <c r="C17" i="4"/>
  <c r="B4" i="52" s="1"/>
  <c r="B43" i="72" s="1"/>
  <c r="M18" i="9"/>
  <c r="B118" i="9" s="1"/>
  <c r="B1" i="74" s="1"/>
  <c r="D3" i="21"/>
  <c r="AC6" i="3"/>
  <c r="L18" i="9"/>
  <c r="D116" i="43"/>
  <c r="F22" i="68"/>
  <c r="C26" i="68" s="1"/>
  <c r="D22" i="68" s="1"/>
  <c r="F22" i="11"/>
  <c r="C24" i="11" s="1"/>
  <c r="F24" i="67"/>
  <c r="C24" i="67" s="1"/>
  <c r="F25" i="12"/>
  <c r="C26" i="12" s="1"/>
  <c r="D25" i="12" s="1"/>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15" i="6"/>
  <c r="M19" i="9"/>
  <c r="C118" i="9" s="1"/>
  <c r="D9" i="6"/>
  <c r="C18" i="4"/>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F41" i="15"/>
  <c r="C17" i="67"/>
  <c r="C17" i="15"/>
  <c r="C17" i="82"/>
  <c r="C14" i="67"/>
  <c r="AE7" i="1"/>
  <c r="AE8" i="1"/>
  <c r="C14" i="83"/>
  <c r="F69" i="15" l="1"/>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60" i="83"/>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C44" i="68"/>
  <c r="D41" i="68" s="1"/>
  <c r="F41" i="68"/>
  <c r="D28" i="6"/>
  <c r="D30" i="6" s="1"/>
  <c r="D5" i="6"/>
  <c r="H21" i="6"/>
  <c r="D10" i="6"/>
  <c r="D8" i="6"/>
  <c r="D24" i="6"/>
  <c r="H22" i="6"/>
  <c r="R22" i="6" s="1"/>
  <c r="R9" i="1" s="1"/>
  <c r="C23" i="11"/>
  <c r="H24" i="6"/>
  <c r="C44" i="11"/>
  <c r="D41" i="11" s="1"/>
  <c r="H25" i="6"/>
  <c r="R25" i="6" s="1"/>
  <c r="R12" i="1" s="1"/>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82"/>
  <c r="F41" i="83"/>
  <c r="E6" i="76"/>
  <c r="C14" i="15"/>
  <c r="F41" i="82"/>
  <c r="D7" i="74" l="1"/>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C18" i="71"/>
  <c r="D19"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I69" i="39"/>
  <c r="J67" i="39"/>
  <c r="I63" i="40"/>
  <c r="H65" i="40"/>
  <c r="I58" i="21"/>
  <c r="J58" i="21" s="1"/>
  <c r="K58" i="21" s="1"/>
  <c r="L58" i="21" s="1"/>
  <c r="M58" i="21" s="1"/>
  <c r="N58" i="21" s="1"/>
  <c r="O58" i="21" s="1"/>
  <c r="H7" i="21" s="1"/>
  <c r="J48" i="35"/>
  <c r="E7" i="76"/>
  <c r="C19" i="82" l="1"/>
  <c r="E2" i="76"/>
  <c r="B2" i="81"/>
  <c r="C23" i="83"/>
  <c r="C29" i="83" s="1"/>
  <c r="C20" i="82"/>
  <c r="C26" i="82" s="1"/>
  <c r="D37" i="68"/>
  <c r="C37" i="68" s="1"/>
  <c r="C33" i="68" s="1"/>
  <c r="C39"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23" i="82" l="1"/>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2"/>
  <c r="F35" i="82"/>
  <c r="M21" i="15"/>
  <c r="M21" i="83"/>
  <c r="F35" i="83"/>
  <c r="M21" i="67"/>
  <c r="F35" i="67"/>
  <c r="F35" i="15"/>
  <c r="Q48" i="83" l="1"/>
  <c r="L46" i="83"/>
  <c r="C37" i="83"/>
  <c r="C56" i="83"/>
  <c r="C65" i="83" s="1"/>
  <c r="C75" i="83"/>
  <c r="Q70" i="83"/>
  <c r="J22" i="83"/>
  <c r="J13" i="83"/>
  <c r="J23" i="83" s="1"/>
  <c r="C57" i="82"/>
  <c r="C64" i="82" s="1"/>
  <c r="J59" i="82"/>
  <c r="J60" i="82" s="1"/>
  <c r="J14" i="82"/>
  <c r="C36" i="82"/>
  <c r="C13" i="82"/>
  <c r="Q49" i="82"/>
  <c r="C6" i="68"/>
  <c r="C7" i="68" s="1"/>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3" l="1"/>
  <c r="C39" i="83" s="1"/>
  <c r="C40" i="83" s="1"/>
  <c r="C58" i="83"/>
  <c r="C67" i="83" s="1"/>
  <c r="C68" i="83" s="1"/>
  <c r="J16" i="83"/>
  <c r="J25" i="83" s="1"/>
  <c r="U16" i="71"/>
  <c r="M23" i="81"/>
  <c r="C75" i="82"/>
  <c r="C56" i="82"/>
  <c r="C65" i="82" s="1"/>
  <c r="C58" i="82" s="1"/>
  <c r="C67" i="82" s="1"/>
  <c r="C68" i="82" s="1"/>
  <c r="C71" i="82" s="1"/>
  <c r="C37" i="82"/>
  <c r="C30" i="82" s="1"/>
  <c r="C39" i="82" s="1"/>
  <c r="Q70" i="82"/>
  <c r="J13" i="82"/>
  <c r="J23" i="82" s="1"/>
  <c r="J22" i="82"/>
  <c r="Q48" i="82"/>
  <c r="L46" i="82"/>
  <c r="C71" i="83"/>
  <c r="Q69" i="83"/>
  <c r="Q68" i="83" s="1"/>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J16" i="82" l="1"/>
  <c r="J25" i="82" s="1"/>
  <c r="Q69" i="82"/>
  <c r="Q68" i="82" s="1"/>
  <c r="C40" i="82"/>
  <c r="C43" i="82" s="1"/>
  <c r="C80" i="82"/>
  <c r="C79" i="82" s="1"/>
  <c r="Q67" i="83"/>
  <c r="Q47" i="83"/>
  <c r="Q53" i="83" s="1"/>
  <c r="B2" i="83"/>
  <c r="B3" i="83" s="1"/>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2"/>
  <c r="Q69" i="15" l="1"/>
  <c r="Q68" i="15" s="1"/>
  <c r="Q65" i="82"/>
  <c r="Q75" i="82" s="1"/>
  <c r="Q56" i="82"/>
  <c r="Q62" i="82" s="1"/>
  <c r="B2" i="82"/>
  <c r="B3" i="82" s="1"/>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12" i="1"/>
  <c r="AO9" i="1"/>
  <c r="AO10" i="1"/>
  <c r="AO8" i="1"/>
  <c r="AO11" i="1"/>
  <c r="K9" i="9" l="1"/>
  <c r="C102" i="9"/>
  <c r="C21" i="9"/>
  <c r="B3" i="34"/>
  <c r="K10" i="9"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K11" i="9" l="1"/>
  <c r="C103" i="9"/>
  <c r="B6" i="70"/>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M9" i="9" l="1"/>
  <c r="D102" i="9"/>
  <c r="D22" i="9"/>
  <c r="G19" i="9"/>
  <c r="G21" i="9" s="1"/>
  <c r="D21" i="9"/>
  <c r="B3" i="70"/>
  <c r="M10" i="9" s="1"/>
  <c r="D9" i="71"/>
  <c r="C8" i="71"/>
  <c r="C42" i="40"/>
  <c r="C43" i="40"/>
  <c r="E47" i="40"/>
  <c r="F47" i="40" s="1"/>
  <c r="E46" i="40"/>
  <c r="F46" i="40" s="1"/>
  <c r="I47" i="40"/>
  <c r="J47" i="40" s="1"/>
  <c r="D20" i="9"/>
  <c r="M11" i="9" l="1"/>
  <c r="D103" i="9"/>
  <c r="G20" i="9"/>
  <c r="C32" i="9" s="1"/>
  <c r="C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C5" i="71" l="1"/>
  <c r="D6" i="71"/>
  <c r="D5" i="71" l="1"/>
  <c r="M24" i="43" s="1"/>
  <c r="M24" i="81"/>
  <c r="B29" i="1"/>
  <c r="C8" i="68" l="1"/>
  <c r="C5" i="68" s="1"/>
  <c r="C18" i="12"/>
  <c r="C21" i="12" s="1"/>
  <c r="C22" i="12" l="1"/>
  <c r="C30" i="12" s="1"/>
  <c r="C28" i="12" s="1"/>
  <c r="C23" i="68"/>
  <c r="C20" i="68"/>
  <c r="M52" i="80"/>
  <c r="C27" i="12" l="1"/>
  <c r="C25" i="12" s="1"/>
  <c r="C32" i="12" s="1"/>
  <c r="B2" i="12" s="1"/>
  <c r="B3" i="12" s="1"/>
  <c r="C28" i="68"/>
  <c r="C27" i="68" s="1"/>
  <c r="C25" i="68"/>
  <c r="C22" i="68" s="1"/>
  <c r="M53" i="80"/>
  <c r="L53" i="80" s="1"/>
  <c r="L52" i="80"/>
  <c r="C31" i="68" l="1"/>
  <c r="C52" i="68" s="1"/>
  <c r="B2" i="68" s="1"/>
  <c r="X52" i="80"/>
  <c r="Y52" i="80" s="1"/>
  <c r="N52" i="80"/>
  <c r="X53" i="80"/>
  <c r="Y53" i="80" s="1"/>
  <c r="Z53" i="80" s="1"/>
  <c r="N53" i="80"/>
  <c r="M36" i="80"/>
  <c r="B3" i="68" l="1"/>
  <c r="L10" i="9" s="1"/>
  <c r="L9" i="9"/>
  <c r="C57" i="68"/>
  <c r="C56" i="68" s="1"/>
  <c r="M37" i="80"/>
  <c r="L36" i="80"/>
  <c r="M43" i="80"/>
  <c r="J15" i="80"/>
  <c r="Z52" i="80"/>
  <c r="L11" i="9" l="1"/>
  <c r="M13" i="9" s="1"/>
  <c r="N9" i="9"/>
  <c r="D14" i="74"/>
  <c r="G14" i="74" s="1"/>
  <c r="B6" i="74" s="1"/>
  <c r="D6" i="74" s="1"/>
  <c r="M14" i="9"/>
  <c r="M51" i="80"/>
  <c r="L51" i="80" s="1"/>
  <c r="L43" i="80"/>
  <c r="M44" i="80"/>
  <c r="X36" i="80"/>
  <c r="N36" i="80"/>
  <c r="M38" i="80"/>
  <c r="L37" i="80"/>
  <c r="Y48" i="80"/>
  <c r="B5" i="74" l="1"/>
  <c r="D5" i="74" s="1"/>
  <c r="E14" i="74"/>
  <c r="M15" i="9" s="1"/>
  <c r="F14" i="74"/>
  <c r="X37" i="80"/>
  <c r="N37" i="80"/>
  <c r="M39" i="80"/>
  <c r="L38" i="80"/>
  <c r="M45" i="80"/>
  <c r="L44" i="80"/>
  <c r="X43" i="80"/>
  <c r="N43" i="80"/>
  <c r="Y56" i="80"/>
  <c r="Z48" i="80"/>
  <c r="X51" i="80"/>
  <c r="N51" i="80"/>
  <c r="M40" i="80" l="1"/>
  <c r="L40" i="80" s="1"/>
  <c r="L39" i="80"/>
  <c r="X44" i="80"/>
  <c r="N44" i="80"/>
  <c r="M46" i="80"/>
  <c r="L45" i="80"/>
  <c r="X38" i="80"/>
  <c r="N38" i="80"/>
  <c r="M13" i="80"/>
  <c r="X39" i="80" l="1"/>
  <c r="N39" i="80"/>
  <c r="M47" i="80"/>
  <c r="L46" i="80"/>
  <c r="X40" i="80"/>
  <c r="X41" i="80" s="1"/>
  <c r="N40" i="80"/>
  <c r="X45" i="80"/>
  <c r="N45" i="80"/>
  <c r="N15" i="80"/>
  <c r="O15" i="80" s="1"/>
  <c r="X46" i="80" l="1"/>
  <c r="N46" i="80"/>
  <c r="M48" i="80"/>
  <c r="L48" i="80" s="1"/>
  <c r="L47" i="80"/>
  <c r="N16" i="80"/>
  <c r="O16" i="80" s="1"/>
  <c r="U46" i="80" l="1"/>
  <c r="L13" i="80"/>
  <c r="O13" i="80" s="1"/>
  <c r="U37" i="80"/>
  <c r="U45" i="80"/>
  <c r="X47" i="80"/>
  <c r="N47" i="80"/>
  <c r="L55" i="80"/>
  <c r="L14" i="80"/>
  <c r="O14" i="80" s="1"/>
  <c r="U40" i="80"/>
  <c r="L12" i="80"/>
  <c r="O12" i="80" s="1"/>
  <c r="U39" i="80"/>
  <c r="U47" i="80"/>
  <c r="X48" i="80"/>
  <c r="N48" i="80"/>
  <c r="N55" i="80" s="1"/>
  <c r="U43" i="80"/>
  <c r="U38" i="80"/>
  <c r="U36" i="80"/>
  <c r="U44" i="80"/>
  <c r="X56" i="80" l="1"/>
  <c r="W48" i="80"/>
  <c r="W56" i="80" s="1"/>
  <c r="O18" i="80"/>
  <c r="O19" i="80" s="1"/>
  <c r="X49" i="80"/>
  <c r="X54" i="80" s="1"/>
  <c r="X57" i="80" l="1"/>
  <c r="U51" i="80"/>
  <c r="U56" i="80" s="1"/>
  <c r="X58" i="80"/>
  <c r="J10" i="80" l="1"/>
  <c r="O34" i="80" l="1"/>
  <c r="Y54" i="80"/>
  <c r="W54" i="80" l="1"/>
  <c r="W57" i="80" s="1"/>
  <c r="Y57" i="80"/>
  <c r="Y58" i="80" s="1"/>
  <c r="R53" i="80"/>
  <c r="S53" i="80" s="1"/>
  <c r="O52" i="80"/>
  <c r="P52" i="80" s="1"/>
  <c r="O48" i="80"/>
  <c r="P48" i="80" s="1"/>
  <c r="O47" i="80"/>
  <c r="P47" i="80" s="1"/>
  <c r="R45" i="80"/>
  <c r="S45" i="80" s="1"/>
  <c r="O43" i="80"/>
  <c r="P43" i="80" s="1"/>
  <c r="O39" i="80"/>
  <c r="P39" i="80" s="1"/>
  <c r="R36" i="80"/>
  <c r="O45" i="80"/>
  <c r="P45" i="80" s="1"/>
  <c r="R43" i="80"/>
  <c r="S43" i="80" s="1"/>
  <c r="R39" i="80"/>
  <c r="S39" i="80" s="1"/>
  <c r="R51" i="80"/>
  <c r="S51" i="80" s="1"/>
  <c r="R46" i="80"/>
  <c r="S46" i="80" s="1"/>
  <c r="O44" i="80"/>
  <c r="P44" i="80" s="1"/>
  <c r="O40" i="80"/>
  <c r="P40" i="80" s="1"/>
  <c r="R38" i="80"/>
  <c r="S38" i="80" s="1"/>
  <c r="R37" i="80"/>
  <c r="S37" i="80" s="1"/>
  <c r="R48" i="80"/>
  <c r="S48" i="80" s="1"/>
  <c r="R47" i="80"/>
  <c r="S47" i="80" s="1"/>
  <c r="O53" i="80"/>
  <c r="P53" i="80" s="1"/>
  <c r="R52" i="80"/>
  <c r="S52" i="80" s="1"/>
  <c r="O38" i="80"/>
  <c r="P38" i="80" s="1"/>
  <c r="O37" i="80"/>
  <c r="P37" i="80" s="1"/>
  <c r="R40" i="80"/>
  <c r="S40" i="80" s="1"/>
  <c r="O51" i="80"/>
  <c r="P51" i="80" s="1"/>
  <c r="O46" i="80"/>
  <c r="P46" i="80" s="1"/>
  <c r="R44" i="80"/>
  <c r="S44" i="80" s="1"/>
  <c r="O36" i="80"/>
  <c r="P36" i="80" l="1"/>
  <c r="O55" i="80"/>
  <c r="R55" i="80"/>
  <c r="S36" i="80"/>
  <c r="W44" i="80"/>
  <c r="Y44" i="80" s="1"/>
  <c r="Z44" i="80" s="1"/>
  <c r="W40" i="80"/>
  <c r="Y40" i="80" s="1"/>
  <c r="Z40" i="80" s="1"/>
  <c r="W45" i="80"/>
  <c r="Y45" i="80" s="1"/>
  <c r="Z45" i="80" s="1"/>
  <c r="W36" i="80"/>
  <c r="W46" i="80"/>
  <c r="Y46" i="80" s="1"/>
  <c r="Z46" i="80" s="1"/>
  <c r="W51" i="80"/>
  <c r="Y51" i="80" s="1"/>
  <c r="W38" i="80"/>
  <c r="Y38" i="80" s="1"/>
  <c r="Z38" i="80" s="1"/>
  <c r="W43" i="80"/>
  <c r="W37" i="80"/>
  <c r="Y37" i="80" s="1"/>
  <c r="Z37" i="80" s="1"/>
  <c r="W47" i="80"/>
  <c r="Y47" i="80" s="1"/>
  <c r="Z47" i="80" s="1"/>
  <c r="W39" i="80"/>
  <c r="Y39" i="80" s="1"/>
  <c r="Z39" i="80" s="1"/>
  <c r="W58" i="80"/>
  <c r="J14" i="80" l="1"/>
  <c r="Z51" i="80"/>
  <c r="W49" i="80"/>
  <c r="Y43" i="80"/>
  <c r="W41" i="80"/>
  <c r="Y36" i="80"/>
  <c r="Y49" i="80" l="1"/>
  <c r="Z43" i="80"/>
  <c r="Y41" i="80"/>
  <c r="Z36" i="80"/>
  <c r="J12" i="80" l="1"/>
  <c r="Z41" i="80"/>
  <c r="Z49" i="80"/>
  <c r="J13" i="80"/>
  <c r="K10" i="80"/>
  <c r="J16" i="80" l="1"/>
  <c r="J18" i="80" s="1"/>
  <c r="AA57" i="80" l="1"/>
  <c r="AA52" i="80" l="1"/>
  <c r="K15" i="80" s="1"/>
  <c r="AA48" i="80"/>
  <c r="AA44" i="80"/>
  <c r="AA40" i="80"/>
  <c r="AA51" i="80"/>
  <c r="K14" i="80" s="1"/>
  <c r="AA45" i="80"/>
  <c r="AA36" i="80"/>
  <c r="AA46" i="80"/>
  <c r="AA43" i="80"/>
  <c r="AA47" i="80"/>
  <c r="AA39" i="80"/>
  <c r="AA38" i="80"/>
  <c r="AA37" i="80"/>
  <c r="AA49" i="80" l="1"/>
  <c r="K13" i="80" s="1"/>
  <c r="AA41" i="80"/>
  <c r="K12" i="80" l="1"/>
  <c r="AA53" i="80"/>
  <c r="K16" i="80" s="1"/>
  <c r="K18" i="80" l="1"/>
  <c r="AA54" i="80"/>
  <c r="M48" i="9"/>
  <c r="D52" i="9"/>
  <c r="D53" i="9"/>
  <c r="C105" i="9"/>
  <c r="I4" i="52"/>
  <c r="H5" i="52"/>
  <c r="B49" i="72"/>
  <c r="N61" i="9"/>
  <c r="N60" i="9"/>
  <c r="B52" i="72"/>
  <c r="B20" i="72"/>
  <c r="D4" i="52"/>
  <c r="B47" i="72"/>
  <c r="B21" i="72"/>
  <c r="C93" i="9"/>
  <c r="C86" i="9"/>
  <c r="B30" i="72"/>
  <c r="D9" i="52"/>
  <c r="M68" i="9"/>
  <c r="H119" i="9"/>
  <c r="H4" i="52"/>
  <c r="C104" i="9"/>
  <c r="M66" i="9"/>
  <c r="D5" i="53"/>
  <c r="D6" i="53"/>
  <c r="B22" i="72"/>
  <c r="N59" i="9"/>
  <c r="L68" i="9"/>
  <c r="L66" i="9"/>
  <c r="D119" i="9"/>
  <c r="D5" i="52"/>
  <c r="C81" i="9"/>
  <c r="C80" i="9"/>
  <c r="E80" i="9"/>
  <c r="E81" i="9"/>
  <c r="C68" i="9"/>
  <c r="D54" i="9"/>
  <c r="E97" i="9"/>
  <c r="D118" i="9"/>
  <c r="P57" i="9"/>
  <c r="N58" i="9"/>
  <c r="N57" i="9"/>
  <c r="B31" i="72"/>
  <c r="C6" i="74"/>
  <c r="H108" i="9"/>
  <c r="D15" i="53"/>
  <c r="D13" i="53"/>
  <c r="D14" i="53"/>
  <c r="B32" i="72"/>
  <c r="C64" i="9"/>
  <c r="C63" i="9"/>
  <c r="C67" i="9"/>
  <c r="D59" i="9"/>
  <c r="M55" i="9"/>
  <c r="D8" i="52"/>
  <c r="D122" i="9"/>
  <c r="D123" i="9"/>
  <c r="C5" i="74"/>
  <c r="H102" i="9"/>
  <c r="D7" i="53"/>
  <c r="L63" i="9"/>
  <c r="M63" i="9"/>
  <c r="M69" i="9"/>
  <c r="N69" i="9"/>
  <c r="L67" i="9"/>
  <c r="M67" i="9"/>
  <c r="C72" i="9"/>
  <c r="C79" i="9"/>
  <c r="E118" i="9"/>
  <c r="E4" i="52"/>
  <c r="B48" i="72"/>
  <c r="C78" i="9"/>
  <c r="C73" i="9"/>
  <c r="G4" i="52"/>
  <c r="C97" i="9"/>
  <c r="D58" i="9"/>
  <c r="D56" i="9"/>
  <c r="M54" i="9"/>
  <c r="L64" i="9"/>
  <c r="M64" i="9"/>
  <c r="F4" i="52"/>
  <c r="B51" i="72"/>
  <c r="H107" i="9"/>
  <c r="M49" i="9"/>
  <c r="L65" i="9"/>
  <c r="M65" i="9"/>
  <c r="D55" i="9"/>
  <c r="M53" i="9"/>
  <c r="I118" i="9"/>
  <c r="H118" i="9"/>
  <c r="H101" i="9"/>
  <c r="D45" i="9"/>
  <c r="C85" i="9"/>
  <c r="C95" i="9"/>
  <c r="C96" i="9"/>
  <c r="E96" i="9"/>
  <c r="G118" i="9"/>
  <c r="F118" i="9"/>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<sst xmlns="http://schemas.openxmlformats.org/spreadsheetml/2006/main" count="9368" uniqueCount="3603">
  <si>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</si>
  <si>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</si>
  <si>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</si>
  <si>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</si>
  <si>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</si>
  <si>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</si>
  <si>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</si>
  <si>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</si>
  <si>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</si>
  <si>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</si>
  <si>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</si>
  <si>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</si>
  <si>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</si>
  <si>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</si>
  <si>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</si>
  <si>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</si>
  <si>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</si>
  <si>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</si>
  <si>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</si>
  <si>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</si>
  <si>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</si>
  <si>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</si>
  <si>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</si>
  <si>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</si>
  <si>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</si>
  <si>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</si>
  <si>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</si>
  <si>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</si>
  <si>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</si>
  <si>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</si>
  <si>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</si>
  <si>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</si>
  <si>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</si>
  <si>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</si>
  <si>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</si>
  <si>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</si>
  <si>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</si>
  <si>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</si>
  <si>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</si>
  <si>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</si>
  <si>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</si>
  <si>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</si>
  <si>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</si>
  <si>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</si>
  <si>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</si>
  <si>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</si>
  <si>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</si>
  <si>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</si>
  <si>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</si>
  <si>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</si>
  <si>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</si>
  <si>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</si>
  <si>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</si>
  <si>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</si>
  <si>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</si>
  <si>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</si>
  <si>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</si>
  <si>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</si>
  <si>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</si>
  <si>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</si>
  <si>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</si>
  <si>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</si>
  <si>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</si>
  <si>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</si>
  <si>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</si>
  <si>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</si>
  <si>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</si>
  <si>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</si>
  <si>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</si>
  <si>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</si>
  <si>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</si>
  <si>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</si>
  <si>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</si>
  <si>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</si>
  <si>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</si>
  <si>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</si>
  <si>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</si>
  <si>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</si>
  <si>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</si>
  <si>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</si>
  <si>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</si>
  <si>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</si>
  <si>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</si>
  <si>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</si>
  <si>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</si>
  <si>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</si>
  <si>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</si>
  <si>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</si>
  <si>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</si>
  <si>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</si>
  <si>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</si>
  <si>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</si>
  <si>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</si>
  <si>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</si>
  <si>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</si>
  <si>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</si>
  <si>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</si>
  <si>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</si>
  <si>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</si>
  <si>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</si>
  <si>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</si>
  <si>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</si>
  <si>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</si>
  <si>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</si>
  <si>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</si>
  <si>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</si>
  <si>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</si>
  <si>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</si>
  <si>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</si>
  <si>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</si>
  <si>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</si>
  <si>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</si>
  <si>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</si>
  <si>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</si>
  <si>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</si>
  <si>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</si>
  <si>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</si>
  <si>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</si>
  <si>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</si>
  <si>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</si>
  <si>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</si>
  <si>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</si>
  <si>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</si>
  <si>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</si>
  <si>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</si>
  <si>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</si>
  <si>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</si>
  <si>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</si>
  <si>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</si>
  <si>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</si>
  <si>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</si>
  <si>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</si>
  <si>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</si>
  <si>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</si>
  <si>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</si>
  <si>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</si>
  <si>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</si>
  <si>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</si>
  <si>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</si>
  <si>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</si>
  <si>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</si>
  <si>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</si>
  <si>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</si>
  <si>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</si>
  <si>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</si>
  <si>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</si>
  <si>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</si>
  <si>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</si>
  <si>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</si>
  <si>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</si>
  <si>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</si>
  <si>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</si>
  <si>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</si>
  <si>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</si>
  <si>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</si>
  <si>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</si>
  <si>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</si>
  <si>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</si>
  <si>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</si>
  <si>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</si>
  <si>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</si>
  <si>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</si>
  <si>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</si>
  <si>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</si>
  <si>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</si>
  <si>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</si>
  <si>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</si>
  <si>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</si>
  <si>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</si>
  <si>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</si>
  <si>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</si>
  <si>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</si>
  <si>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</si>
  <si>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</si>
  <si>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</si>
  <si>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</si>
  <si>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</si>
  <si>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</si>
  <si>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</si>
  <si>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</si>
  <si>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</si>
  <si>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</si>
  <si>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</si>
  <si>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</si>
  <si>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</si>
  <si>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</si>
  <si>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</si>
  <si>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</si>
  <si>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</si>
  <si>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</si>
  <si>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</si>
  <si>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</si>
  <si>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</si>
  <si>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</si>
  <si>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</si>
  <si>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</si>
  <si>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</si>
  <si>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</si>
  <si>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</si>
  <si>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</si>
  <si>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</si>
  <si>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</si>
  <si>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</si>
  <si>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</si>
  <si>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</si>
  <si>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</si>
  <si>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</si>
  <si>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</si>
  <si>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</si>
  <si>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</si>
  <si>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</si>
  <si>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</si>
  <si>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</si>
  <si>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</si>
  <si>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</si>
  <si>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</si>
  <si>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</si>
  <si>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</si>
  <si>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</si>
  <si>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</si>
  <si>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</si>
  <si>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</si>
  <si>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</si>
  <si>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</si>
  <si>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</si>
  <si>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</si>
  <si>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</si>
  <si>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</si>
  <si>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</si>
  <si>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</si>
  <si>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</si>
  <si>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</si>
  <si>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</si>
  <si>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</si>
  <si>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</si>
  <si>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</si>
  <si>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</si>
  <si>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</si>
  <si>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</si>
  <si>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</si>
  <si>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</si>
  <si>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</si>
  <si>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</si>
  <si>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</si>
  <si>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</si>
  <si>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</si>
  <si>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</si>
  <si>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</si>
  <si>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</si>
  <si>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</si>
  <si>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</si>
  <si>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</si>
  <si>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</si>
  <si>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</si>
  <si>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</si>
  <si>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</si>
  <si>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</si>
  <si>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</si>
  <si>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</si>
  <si>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</si>
  <si>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</si>
  <si>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</si>
  <si>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</si>
  <si>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</si>
  <si>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</si>
  <si>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</si>
  <si>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</si>
  <si>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</si>
  <si>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</si>
  <si>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</si>
  <si>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</si>
  <si>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</si>
  <si>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</si>
  <si>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</si>
  <si>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</si>
  <si>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</si>
  <si>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</si>
  <si>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</si>
  <si>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</si>
  <si>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</si>
  <si>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</si>
  <si>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</si>
  <si>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</si>
  <si>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</si>
  <si>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</si>
  <si>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</si>
  <si>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</si>
  <si>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</si>
  <si>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</si>
  <si>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</si>
  <si>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</si>
  <si>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</si>
  <si>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</si>
  <si>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</si>
  <si>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</si>
  <si>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</si>
  <si>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</si>
  <si>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</si>
  <si>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</si>
  <si>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</si>
  <si>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</si>
  <si>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</si>
  <si>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</si>
  <si>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</si>
  <si>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</si>
  <si>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</si>
  <si>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</si>
  <si>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</si>
  <si>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</si>
  <si>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</si>
  <si>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</si>
  <si>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</si>
  <si>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</si>
  <si>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</si>
  <si>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</si>
  <si>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</si>
  <si>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</si>
  <si>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</si>
  <si>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</si>
  <si>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</si>
  <si>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</si>
  <si>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</si>
  <si>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</si>
  <si>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</si>
  <si>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</si>
  <si>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</si>
  <si>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</si>
  <si>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</si>
  <si>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</si>
  <si>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</si>
  <si>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</si>
  <si>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</si>
  <si>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</si>
  <si>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</si>
  <si>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</si>
  <si>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</si>
  <si>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</si>
  <si>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</si>
  <si>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</si>
  <si>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</si>
  <si>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</si>
  <si>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</si>
  <si>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</si>
  <si>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</si>
  <si>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</si>
  <si>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</si>
  <si>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</si>
  <si>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</si>
  <si>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</si>
  <si>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</si>
  <si>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</si>
  <si>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</si>
  <si>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</si>
  <si>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</si>
  <si>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</si>
  <si>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</si>
  <si>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</si>
  <si>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</si>
  <si>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</si>
  <si>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</si>
  <si>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</si>
  <si>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</si>
  <si>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</si>
  <si>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</si>
  <si>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</si>
  <si>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</si>
  <si>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</si>
  <si>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</si>
  <si>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</si>
  <si>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</si>
  <si>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</si>
  <si>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</si>
  <si>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</si>
  <si>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</si>
  <si>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</si>
  <si>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</si>
  <si>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</si>
  <si>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</si>
  <si>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</si>
  <si>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</si>
  <si>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</si>
  <si>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</si>
  <si>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</si>
  <si>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</si>
  <si>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</si>
  <si>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</si>
  <si>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</si>
  <si>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</si>
  <si>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</si>
  <si>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</si>
  <si>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</si>
  <si>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</si>
  <si>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</si>
  <si>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</si>
  <si>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</si>
  <si>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</si>
  <si>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</si>
  <si>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</si>
  <si>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</si>
  <si>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</si>
  <si>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</si>
  <si>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</si>
  <si>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</si>
  <si>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</si>
  <si>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</si>
  <si>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</si>
  <si>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</si>
  <si>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</si>
  <si>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</si>
  <si>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</si>
  <si>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</si>
  <si>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</si>
  <si>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</si>
  <si>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</si>
  <si>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</si>
  <si>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</si>
  <si>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</si>
  <si>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</si>
  <si>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</si>
  <si>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</si>
  <si>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</si>
  <si>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</si>
  <si>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</si>
  <si>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</si>
  <si>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</si>
  <si>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</si>
  <si>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</si>
  <si>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</si>
  <si>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</si>
  <si>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</si>
  <si>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</si>
  <si>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</si>
  <si>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</si>
  <si>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</si>
  <si>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</si>
  <si>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</si>
  <si>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</si>
  <si>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</si>
  <si>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</si>
  <si>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</si>
  <si>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</si>
  <si>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</si>
  <si>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</si>
  <si>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</si>
  <si>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</si>
  <si>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</si>
  <si>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</si>
  <si>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</si>
  <si>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</si>
  <si>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</si>
  <si>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</si>
  <si>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</si>
  <si>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</si>
  <si>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</si>
  <si>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</si>
  <si>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</si>
  <si>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</si>
  <si>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</si>
  <si>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</si>
  <si>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</si>
  <si>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</si>
  <si>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</si>
  <si>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</si>
  <si>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</si>
  <si>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</si>
  <si>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</si>
  <si>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</si>
  <si>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</si>
  <si>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</si>
  <si>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</si>
  <si>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</si>
  <si>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</si>
  <si>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</si>
  <si>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</si>
  <si>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</si>
  <si>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</si>
  <si>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</si>
  <si>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</si>
  <si>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</si>
  <si>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</si>
  <si>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</si>
  <si>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</si>
  <si>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</si>
  <si>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</si>
  <si>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</si>
  <si>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</si>
  <si>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</si>
  <si>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</si>
  <si>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</si>
  <si>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</si>
  <si>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</si>
  <si>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</si>
  <si>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</si>
  <si>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</si>
  <si>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</si>
  <si>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</si>
  <si>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</si>
  <si>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</si>
  <si>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</si>
  <si>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</si>
  <si>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</si>
  <si>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</si>
  <si>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</si>
  <si>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</si>
  <si>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</si>
  <si>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</si>
  <si>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</si>
  <si>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</si>
  <si>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</si>
  <si>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</si>
  <si>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</si>
  <si>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</si>
  <si>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</si>
  <si>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</si>
  <si>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</si>
  <si>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</si>
  <si>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</si>
  <si>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</si>
  <si>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</si>
  <si>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</si>
  <si>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</si>
  <si>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</si>
  <si>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</si>
  <si>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</si>
  <si>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</si>
  <si>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</si>
  <si>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</si>
  <si>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</si>
  <si>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</si>
  <si>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</si>
  <si>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</si>
  <si>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</si>
  <si>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</si>
  <si>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</si>
  <si>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</si>
  <si>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</si>
  <si>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</si>
  <si>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</si>
  <si>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</si>
  <si>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</si>
  <si>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</si>
  <si>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</si>
  <si>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</si>
  <si>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</si>
  <si>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</si>
  <si>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</si>
  <si>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</si>
  <si>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</si>
  <si>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</si>
  <si>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</si>
  <si>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</si>
  <si>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</si>
  <si>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</si>
  <si>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</si>
  <si>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</si>
  <si>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</si>
  <si>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</si>
  <si>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</si>
  <si>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</si>
  <si>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</si>
  <si>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</si>
  <si>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</si>
  <si>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</si>
  <si>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</si>
  <si>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</si>
  <si>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</si>
  <si>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</si>
  <si>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</si>
  <si>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</si>
  <si>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</si>
  <si>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</si>
  <si>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</si>
  <si>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</si>
  <si>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</si>
  <si>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</si>
  <si>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</si>
  <si>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</si>
  <si>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</si>
  <si>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</si>
  <si>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</si>
  <si>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</si>
  <si>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</si>
  <si>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</si>
  <si>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</si>
  <si>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</si>
  <si>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</si>
  <si>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</si>
  <si>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</si>
  <si>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</si>
  <si>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</si>
  <si>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</si>
  <si>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</si>
  <si>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</si>
  <si>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</si>
  <si>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</si>
  <si>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</si>
  <si>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</si>
  <si>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</si>
  <si>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</si>
  <si>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</si>
  <si>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</si>
  <si>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</si>
  <si>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</si>
  <si>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</si>
  <si>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</si>
  <si>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</si>
  <si>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</si>
  <si>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</si>
  <si>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</si>
  <si>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</si>
  <si>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</si>
  <si>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</si>
  <si>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</si>
  <si>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</si>
  <si>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</si>
  <si>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</si>
  <si>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</si>
  <si>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</si>
  <si>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</si>
  <si>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</si>
  <si>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</si>
  <si>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</si>
  <si>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</si>
  <si>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</si>
  <si>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</si>
  <si>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</si>
  <si>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</si>
  <si>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</si>
  <si>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</si>
  <si>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</si>
  <si>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</si>
  <si>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</si>
  <si>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</si>
  <si>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</si>
  <si>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</si>
  <si>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</si>
  <si>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</si>
  <si>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</si>
  <si>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</si>
  <si>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</si>
  <si>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</si>
  <si>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</si>
  <si>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</si>
  <si>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</si>
  <si>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</si>
  <si>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</si>
  <si>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</si>
  <si>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</si>
  <si>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</si>
  <si>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</si>
  <si>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</si>
  <si>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</si>
  <si>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</si>
  <si>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</si>
  <si>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</si>
  <si>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</si>
  <si>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</si>
  <si>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</si>
  <si>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</si>
  <si>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</si>
  <si>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</si>
  <si>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</si>
  <si>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</si>
  <si>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</si>
  <si>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</si>
  <si>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</si>
  <si>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</si>
  <si>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</si>
  <si>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</si>
  <si>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</si>
  <si>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</si>
  <si>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</si>
  <si>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</si>
  <si>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</si>
  <si>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</si>
  <si>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</si>
  <si>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</si>
  <si>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</si>
  <si>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</si>
  <si>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</si>
  <si>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</si>
  <si>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</si>
  <si>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</si>
  <si>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</si>
  <si>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</si>
  <si>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</si>
  <si>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</si>
  <si>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</si>
  <si>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</si>
  <si>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</si>
  <si>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</si>
  <si>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</si>
  <si>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</si>
  <si>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</si>
  <si>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</si>
  <si>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</si>
  <si>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</si>
  <si>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</si>
  <si>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</si>
  <si>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</si>
  <si>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</si>
  <si>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</si>
  <si>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</si>
  <si>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</si>
  <si>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</si>
  <si>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</si>
  <si>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</si>
  <si>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</si>
  <si>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</si>
  <si>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</si>
  <si>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</si>
  <si>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</si>
  <si>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</si>
  <si>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</si>
  <si>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</si>
  <si>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</si>
  <si>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</si>
  <si>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</si>
  <si>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</si>
  <si>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</si>
  <si>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</si>
  <si>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</si>
  <si>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</si>
  <si>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</si>
  <si>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</si>
  <si>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</si>
  <si>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</si>
  <si>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</si>
  <si>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</si>
  <si>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</si>
  <si>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</si>
  <si>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</si>
  <si>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</si>
  <si>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</si>
  <si>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</si>
  <si>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</si>
  <si>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</si>
  <si>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</si>
  <si>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</si>
  <si>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</si>
  <si>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</si>
  <si>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</si>
  <si>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</si>
  <si>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</si>
  <si>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</si>
  <si>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</si>
  <si>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</si>
  <si>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</si>
  <si>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</si>
  <si>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</si>
  <si>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</si>
  <si>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</si>
  <si>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</si>
  <si>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</si>
  <si>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</si>
  <si>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</si>
  <si>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</si>
  <si>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</si>
  <si>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</si>
  <si>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</si>
  <si>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</si>
  <si>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</si>
  <si>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</si>
  <si>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</si>
  <si>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</si>
  <si>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</si>
  <si>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</si>
  <si>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</si>
  <si>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</si>
  <si>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</si>
  <si>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</si>
  <si>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</si>
  <si>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</si>
  <si>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</si>
  <si>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</si>
  <si>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</si>
  <si>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</si>
  <si>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</si>
  <si>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</si>
  <si>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</si>
  <si>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</si>
  <si>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</si>
  <si>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</si>
  <si>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</si>
  <si>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</si>
  <si>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</si>
  <si>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</si>
  <si>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</si>
  <si>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</si>
  <si>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</si>
  <si>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</si>
  <si>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</si>
  <si>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</si>
  <si>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</si>
  <si>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</si>
  <si>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</si>
  <si>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</si>
  <si>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</si>
  <si>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</si>
  <si>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</si>
  <si>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</si>
  <si>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</si>
  <si>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</si>
  <si>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</si>
  <si>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</si>
  <si>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</si>
  <si>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</si>
  <si>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</si>
  <si>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</si>
  <si>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</si>
  <si>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</si>
  <si>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</si>
  <si>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</si>
  <si>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</si>
  <si>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</si>
  <si>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</si>
  <si>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</si>
  <si>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</si>
  <si>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</si>
  <si>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</si>
  <si>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</si>
  <si>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</si>
  <si>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</si>
  <si>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</si>
  <si>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</si>
  <si>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</si>
  <si>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</si>
  <si>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</si>
  <si>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</si>
  <si>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</si>
  <si>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</si>
  <si>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</si>
  <si>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</si>
  <si>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</si>
  <si>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</si>
  <si>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</si>
  <si>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</si>
  <si>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</si>
  <si>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</si>
  <si>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</si>
  <si>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</si>
  <si>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</si>
  <si>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</si>
  <si>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</si>
  <si>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</si>
  <si>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</si>
  <si>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</si>
  <si>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</si>
  <si>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</si>
  <si>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</si>
  <si>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</si>
  <si>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</si>
  <si>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</si>
  <si>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</si>
  <si>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</si>
  <si>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</si>
  <si>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</si>
  <si>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</si>
  <si>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</si>
  <si>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</si>
  <si>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</si>
  <si>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</si>
  <si>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</si>
  <si>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</si>
  <si>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</si>
  <si>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</si>
  <si>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</si>
  <si>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</si>
  <si>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</si>
  <si>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</si>
  <si>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</si>
  <si>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</si>
  <si>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</si>
  <si>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</si>
  <si>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</si>
  <si>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</si>
  <si>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</si>
  <si>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</si>
  <si>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</si>
  <si>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</si>
  <si>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</si>
  <si>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</si>
  <si>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</si>
  <si>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</si>
  <si>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</si>
  <si>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</si>
  <si>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</si>
  <si>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</si>
  <si>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</si>
  <si>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</si>
  <si>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</si>
  <si>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</si>
  <si>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</si>
  <si>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</si>
  <si>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</si>
  <si>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</si>
  <si>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</si>
  <si>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</si>
  <si>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</si>
  <si>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</si>
  <si>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</si>
  <si>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</si>
  <si>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</si>
  <si>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</si>
  <si>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</si>
  <si>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</si>
  <si>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</si>
  <si>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</si>
  <si>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</si>
  <si>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</si>
  <si>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</si>
  <si>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</si>
  <si>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</si>
  <si>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</si>
  <si>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</si>
  <si>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</si>
  <si>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</si>
  <si>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</si>
  <si>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</si>
  <si>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</si>
  <si>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</si>
  <si>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</si>
  <si>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</si>
  <si>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</si>
  <si>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</si>
  <si>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</si>
  <si>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</si>
  <si>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</si>
  <si>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</si>
  <si>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</si>
  <si>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</si>
  <si>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</si>
  <si>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</si>
  <si>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</si>
  <si>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</si>
  <si>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</si>
  <si>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</si>
  <si>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</si>
  <si>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</si>
  <si>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</si>
  <si>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</si>
  <si>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</si>
  <si>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</si>
  <si>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</si>
  <si>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</si>
  <si>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</si>
  <si>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</si>
  <si>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</si>
  <si>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</si>
  <si>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</si>
  <si>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</si>
  <si>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</si>
  <si>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</si>
  <si>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</si>
  <si>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</si>
  <si>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</si>
  <si>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</si>
  <si>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</si>
  <si>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</si>
  <si>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</si>
  <si>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</si>
  <si>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</si>
  <si>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</si>
  <si>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</si>
  <si>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</si>
  <si>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</si>
  <si>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</si>
  <si>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</si>
  <si>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</si>
  <si>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</si>
  <si>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</si>
  <si>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</si>
  <si>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</si>
  <si>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</si>
  <si>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</si>
  <si>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</si>
  <si>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</si>
  <si>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</si>
  <si>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</si>
  <si>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</si>
  <si>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</si>
  <si>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</si>
  <si>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</si>
  <si>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</si>
  <si>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</si>
  <si>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</si>
  <si>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</si>
  <si>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</si>
  <si>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</si>
  <si>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</si>
  <si>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</si>
  <si>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</si>
  <si>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</si>
  <si>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</si>
  <si>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</si>
  <si>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</si>
  <si>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</si>
  <si>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</si>
  <si>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</si>
  <si>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</si>
  <si>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</si>
  <si>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</si>
  <si>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</si>
  <si>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</si>
  <si>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</si>
  <si>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</si>
  <si>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</si>
  <si>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</si>
  <si>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</si>
  <si>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</si>
  <si>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</si>
  <si>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</si>
  <si>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</si>
  <si>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</si>
  <si>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</si>
  <si>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</si>
  <si>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</si>
  <si>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</si>
  <si>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</si>
  <si>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</si>
  <si>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</si>
  <si>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</si>
  <si>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</si>
  <si>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</si>
  <si>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</si>
  <si>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</si>
  <si>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</si>
  <si>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</si>
  <si>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</si>
  <si>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</si>
  <si>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</si>
  <si>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</si>
  <si>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</si>
  <si>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</si>
  <si>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</si>
  <si>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</si>
  <si>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</si>
  <si>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</si>
  <si>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</si>
  <si>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</si>
  <si>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</si>
  <si>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</si>
  <si>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</si>
  <si>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</si>
  <si>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</si>
  <si>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</si>
  <si>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</si>
  <si>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</si>
  <si>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</si>
  <si>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</si>
  <si>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</si>
  <si>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</si>
  <si>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</si>
  <si>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</si>
  <si>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</si>
  <si>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</si>
  <si>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</si>
  <si>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</si>
  <si>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</si>
  <si>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</si>
  <si>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</si>
  <si>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</si>
  <si>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</si>
  <si>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</si>
  <si>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</si>
  <si>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</si>
  <si>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</si>
  <si>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</si>
  <si>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</si>
  <si>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</si>
  <si>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</si>
  <si>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</si>
  <si>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</si>
  <si>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</si>
  <si>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</si>
  <si>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</si>
  <si>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</si>
  <si>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</si>
  <si>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</si>
  <si>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</si>
  <si>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</si>
  <si>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</si>
  <si>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</si>
  <si>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</si>
  <si>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</si>
  <si>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</si>
  <si>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</si>
  <si>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</si>
  <si>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</si>
  <si>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</si>
  <si>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</si>
  <si>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</si>
  <si>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</si>
  <si>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</si>
  <si>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</si>
  <si>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</si>
  <si>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</si>
  <si>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</si>
  <si>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</si>
  <si>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</si>
  <si>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</si>
  <si>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</si>
  <si>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</si>
  <si>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</si>
  <si>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</si>
  <si>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</si>
  <si>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</si>
  <si>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</si>
  <si>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</si>
  <si>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</si>
  <si>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</si>
  <si>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</si>
  <si>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</si>
  <si>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</si>
  <si>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</si>
  <si>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</si>
  <si>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</si>
  <si>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</si>
  <si>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</si>
  <si>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</si>
  <si>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</si>
  <si>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</si>
  <si>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</si>
  <si>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</si>
  <si>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</si>
  <si>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</si>
  <si>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</si>
  <si>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</si>
  <si>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</si>
  <si>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</si>
  <si>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</si>
  <si>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</si>
  <si>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</si>
  <si>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</si>
  <si>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</si>
  <si>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</si>
  <si>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</si>
  <si>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</si>
  <si>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</si>
  <si>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</si>
  <si>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</si>
  <si>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</si>
  <si>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</si>
  <si>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</si>
  <si>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</si>
  <si>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</si>
  <si>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</si>
  <si>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</si>
  <si>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</si>
  <si>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</si>
  <si>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</si>
  <si>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</si>
  <si>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</si>
  <si>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</si>
  <si>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</si>
  <si>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</si>
  <si>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</si>
  <si>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</si>
  <si>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</si>
  <si>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</si>
  <si>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</si>
  <si>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</si>
  <si>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</si>
  <si>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</si>
  <si>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</si>
  <si>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</si>
  <si>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</si>
  <si>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</si>
  <si>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</si>
  <si>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</si>
  <si>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</si>
  <si>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</si>
  <si>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</si>
  <si>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</si>
  <si>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</si>
  <si>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</si>
  <si>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</si>
  <si>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</si>
  <si>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</si>
  <si>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</si>
  <si>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</si>
  <si>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</si>
  <si>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</si>
  <si>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</si>
  <si>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</si>
  <si>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</si>
  <si>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</si>
  <si>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</si>
  <si>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</si>
  <si>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</si>
  <si>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</si>
  <si>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</si>
  <si>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</si>
  <si>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</si>
  <si>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</si>
  <si>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</si>
  <si>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</si>
  <si>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</si>
  <si>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</si>
  <si>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</si>
  <si>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</si>
  <si>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</si>
  <si>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</si>
  <si>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</si>
  <si>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</si>
  <si>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</si>
  <si>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</si>
  <si>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</si>
  <si>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</si>
  <si>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</si>
  <si>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</si>
  <si>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</si>
  <si>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</si>
  <si>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</si>
  <si>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</si>
  <si>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</si>
  <si>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</si>
  <si>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</si>
  <si>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</si>
  <si>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</si>
  <si>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</si>
  <si>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</si>
  <si>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</si>
  <si>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</si>
  <si>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</si>
  <si>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</si>
  <si>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</si>
  <si>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</si>
  <si>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</si>
  <si>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</si>
  <si>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</si>
  <si>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</si>
  <si>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</si>
  <si>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</si>
  <si>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</si>
  <si>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</si>
  <si>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</si>
  <si>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</si>
  <si>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</si>
  <si>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</si>
  <si>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</si>
  <si>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</si>
  <si>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</si>
  <si>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</si>
  <si>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</si>
  <si>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</si>
  <si>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</si>
  <si>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</si>
  <si>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</si>
  <si>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</si>
  <si>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</si>
  <si>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</si>
  <si>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</si>
  <si>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</si>
  <si>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</si>
  <si>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</si>
  <si>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</si>
  <si>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</si>
  <si>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</si>
  <si>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</si>
  <si>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</si>
  <si>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</si>
  <si>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</si>
  <si>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</si>
  <si>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</si>
  <si>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</si>
  <si>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</si>
  <si>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</si>
  <si>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</si>
  <si>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</si>
  <si>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</si>
  <si>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</si>
  <si>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</si>
  <si>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</si>
  <si>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</si>
  <si>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</si>
  <si>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</si>
  <si>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</si>
  <si>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</si>
  <si>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</si>
  <si>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</si>
  <si>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</si>
  <si>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</si>
  <si>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</si>
  <si>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</si>
  <si>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</si>
  <si>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</si>
  <si>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</si>
  <si>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</si>
  <si>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</si>
  <si>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</si>
  <si>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</si>
  <si>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</si>
  <si>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</si>
  <si>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</si>
  <si>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</si>
  <si>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</si>
  <si>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</si>
  <si>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</si>
  <si>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</si>
  <si>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</si>
  <si>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</si>
  <si>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</si>
  <si>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</si>
  <si>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</si>
  <si>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</si>
  <si>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</si>
  <si>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</si>
  <si>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</si>
  <si>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</si>
  <si>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</si>
  <si>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</si>
  <si>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</si>
  <si>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</si>
  <si>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</si>
  <si>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</si>
  <si>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</si>
  <si>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</si>
  <si>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</si>
  <si>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</si>
  <si>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</si>
  <si>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</si>
  <si>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</si>
  <si>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</si>
  <si>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</si>
  <si>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</si>
  <si>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</si>
  <si>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</si>
  <si>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</si>
  <si>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</si>
  <si>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</si>
  <si>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</si>
  <si>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</si>
  <si>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</si>
  <si>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</si>
  <si>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</si>
  <si>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</si>
  <si>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</si>
  <si>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</si>
  <si>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</si>
  <si>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</si>
  <si>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</si>
  <si>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</si>
  <si>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</si>
  <si>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</si>
  <si>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</si>
  <si>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</si>
  <si>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</si>
  <si>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</si>
  <si>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</si>
  <si>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</si>
  <si>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</si>
  <si>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</si>
  <si>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</si>
  <si>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</si>
  <si>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</si>
  <si>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</si>
  <si>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</si>
  <si>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</si>
  <si>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</si>
  <si>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</si>
  <si>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</si>
  <si>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</si>
  <si>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</si>
  <si>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</si>
  <si>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</si>
  <si>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</si>
  <si>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</si>
  <si>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</si>
  <si>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</si>
  <si>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</si>
  <si>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</si>
  <si>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</si>
  <si>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</si>
  <si>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</si>
  <si>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</si>
  <si>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</si>
  <si>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</si>
  <si>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</si>
  <si>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</si>
  <si>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</si>
  <si>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</si>
  <si>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</si>
  <si>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</si>
  <si>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</si>
  <si>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</si>
  <si>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</si>
  <si>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</si>
  <si>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</si>
  <si>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</si>
  <si>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</si>
  <si>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</si>
  <si>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</si>
  <si>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</si>
  <si>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</si>
  <si>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</si>
  <si>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</si>
  <si>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</si>
  <si>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</si>
  <si>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</si>
  <si>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</si>
  <si>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</si>
  <si>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</si>
  <si>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</si>
  <si>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</si>
  <si>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</si>
  <si>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</si>
  <si>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</si>
  <si>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</si>
  <si>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</si>
  <si>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</si>
  <si>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</si>
  <si>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</si>
  <si>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</si>
  <si>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</si>
  <si>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</si>
  <si>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</si>
  <si>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</si>
  <si>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</si>
  <si>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</si>
  <si>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</si>
  <si>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</si>
  <si>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</si>
  <si>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</si>
  <si>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</si>
  <si>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</si>
  <si>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</si>
  <si>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</si>
  <si>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</si>
  <si>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</si>
  <si>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</si>
  <si>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</si>
  <si>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</si>
  <si>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</si>
  <si>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</si>
  <si>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</si>
  <si>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</si>
  <si>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</si>
  <si>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</si>
  <si>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</si>
  <si>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</si>
  <si>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</si>
  <si>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</si>
  <si>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</si>
  <si>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</si>
  <si>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</si>
  <si>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</si>
  <si>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</si>
  <si>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</si>
  <si>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</si>
  <si>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</si>
  <si>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</si>
  <si>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</si>
  <si>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</si>
  <si>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</si>
  <si>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</si>
  <si>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</si>
  <si>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</si>
  <si>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</si>
  <si>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</si>
  <si>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</si>
  <si>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</si>
  <si>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</si>
  <si>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</si>
  <si>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</si>
  <si>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</si>
  <si>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</si>
  <si>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</si>
  <si>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</si>
  <si>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</si>
  <si>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</si>
  <si>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</si>
  <si>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</si>
  <si>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</si>
  <si>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</si>
  <si>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</si>
  <si>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</si>
  <si>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</si>
  <si>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</si>
  <si>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</si>
  <si>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</si>
  <si>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</si>
  <si>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</si>
  <si>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</si>
  <si>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</si>
  <si>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</si>
  <si>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</si>
  <si>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</si>
  <si>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</si>
  <si>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</si>
  <si>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</si>
  <si>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</si>
  <si>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</si>
  <si>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</si>
  <si>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</si>
  <si>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</si>
  <si>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</si>
  <si>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</si>
  <si>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</si>
  <si>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</si>
  <si>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</si>
  <si>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</si>
  <si>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</si>
  <si>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</si>
  <si>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</si>
  <si>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</si>
  <si>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</si>
  <si>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</si>
  <si>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</si>
  <si>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</si>
  <si>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</si>
  <si>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</si>
  <si>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</si>
  <si>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</si>
  <si>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</si>
  <si>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</si>
  <si>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</si>
  <si>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</si>
  <si>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</si>
  <si>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</si>
  <si>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</si>
  <si>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</si>
  <si>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</si>
  <si>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</si>
  <si>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</si>
  <si>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</si>
  <si>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</si>
  <si>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</si>
  <si>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</si>
  <si>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</si>
  <si>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</si>
  <si>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</si>
  <si>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</si>
  <si>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</si>
  <si>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</si>
  <si>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</si>
  <si>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</si>
  <si>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</si>
  <si>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</si>
  <si>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</si>
  <si>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</si>
  <si>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</si>
  <si>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</si>
  <si>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</si>
  <si>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</si>
  <si>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</si>
  <si>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</si>
  <si>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</si>
  <si>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</si>
  <si>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</si>
  <si>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</si>
  <si>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</si>
  <si>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</si>
  <si>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</si>
  <si>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</si>
  <si>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</si>
  <si>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</si>
  <si>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</si>
  <si>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</si>
  <si>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</si>
  <si>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</si>
  <si>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</si>
  <si>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</si>
  <si>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</si>
  <si>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</si>
  <si>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</si>
  <si>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</si>
  <si>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</si>
  <si>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</si>
  <si>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</si>
  <si>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</si>
  <si>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</si>
  <si>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</si>
  <si>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</si>
  <si>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</si>
  <si>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</si>
  <si>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</si>
  <si>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</si>
  <si>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</si>
  <si>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</si>
  <si>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</si>
  <si>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</si>
  <si>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</si>
  <si>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</si>
  <si>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</si>
  <si>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</si>
  <si>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</si>
  <si>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</si>
  <si>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</si>
  <si>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</si>
  <si>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</si>
  <si>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</si>
  <si>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</si>
  <si>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</si>
  <si>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</si>
  <si>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</si>
  <si>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</si>
  <si>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</si>
  <si>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</si>
  <si>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</si>
  <si>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</si>
  <si>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</si>
  <si>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</si>
  <si>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</si>
  <si>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</si>
  <si>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</si>
  <si>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</si>
  <si>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</si>
  <si>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</si>
  <si>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</si>
  <si>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</si>
  <si>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</si>
  <si>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</si>
  <si>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</si>
  <si>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</si>
  <si>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</si>
  <si>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</si>
  <si>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</si>
  <si>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</si>
  <si>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</si>
  <si>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</si>
  <si>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</si>
  <si>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</si>
  <si>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</si>
  <si>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</si>
  <si>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</si>
  <si>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</si>
  <si>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</si>
  <si>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</si>
  <si>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</si>
  <si>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</si>
  <si>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</si>
  <si>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</si>
  <si>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</si>
  <si>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</si>
  <si>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</si>
  <si>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</si>
  <si>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</si>
  <si>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</si>
  <si>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</si>
  <si>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</si>
  <si>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</si>
  <si>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</si>
  <si>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</si>
  <si>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</si>
  <si>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</si>
  <si>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</si>
  <si>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</si>
  <si>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</si>
  <si>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</si>
  <si>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</si>
  <si>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</si>
  <si>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</si>
  <si>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</si>
  <si>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</si>
  <si>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</si>
  <si>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</si>
  <si>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</si>
  <si>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</si>
  <si>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</si>
  <si>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</si>
  <si>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</si>
  <si>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</si>
  <si>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</si>
  <si>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</si>
  <si>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</si>
  <si>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</si>
  <si>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</si>
  <si>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</si>
  <si>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</si>
  <si>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</si>
  <si>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</si>
  <si>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</si>
  <si>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</si>
  <si>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</si>
  <si>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</si>
  <si>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</si>
  <si>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</si>
  <si>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</si>
  <si>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</si>
  <si>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</si>
  <si>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</si>
  <si>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</si>
  <si>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</si>
  <si>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</si>
  <si>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</si>
  <si>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</si>
  <si>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</si>
  <si>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</si>
  <si>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</si>
  <si>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</si>
  <si>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</si>
  <si>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</si>
  <si>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</si>
  <si>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</si>
  <si>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</si>
  <si>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</si>
  <si>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</si>
  <si>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</si>
  <si>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</si>
  <si>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</si>
  <si>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</si>
  <si>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</si>
  <si>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</si>
  <si>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</si>
  <si>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</si>
  <si>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</si>
  <si>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</si>
  <si>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</si>
  <si>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</si>
  <si>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</si>
  <si>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</si>
  <si>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</si>
  <si>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</si>
  <si>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</si>
  <si>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</si>
  <si>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</si>
  <si>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</si>
  <si>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</si>
  <si>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</si>
  <si>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</si>
  <si>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</si>
  <si>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</si>
  <si>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</si>
  <si>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</si>
  <si>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</si>
  <si>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</si>
  <si>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</si>
  <si>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</si>
  <si>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</si>
  <si>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</si>
  <si>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</si>
  <si>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</si>
  <si>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</si>
  <si>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</si>
  <si>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</si>
  <si>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</si>
  <si>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</si>
  <si>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</si>
  <si>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</si>
  <si>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</si>
  <si>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</si>
  <si>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</si>
  <si>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</si>
  <si>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</si>
  <si>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</si>
  <si>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</si>
  <si>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</si>
  <si>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</si>
  <si>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</si>
  <si>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</si>
  <si>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</si>
  <si>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</si>
  <si>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</si>
  <si>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</si>
  <si>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</si>
  <si>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</si>
  <si>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</si>
  <si>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</si>
  <si>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</si>
  <si>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</si>
  <si>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</si>
  <si>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</si>
  <si>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</si>
  <si>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</si>
  <si>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</si>
  <si>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</si>
  <si>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</si>
  <si>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</si>
  <si>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</si>
  <si>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</si>
  <si>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</si>
  <si>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</si>
  <si>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</si>
  <si>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</si>
  <si>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</si>
  <si>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</si>
  <si>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</si>
  <si>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</si>
  <si>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</si>
  <si>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</si>
  <si>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</si>
  <si>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</si>
  <si>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</si>
  <si>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</si>
  <si>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</si>
  <si>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</si>
  <si>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</si>
  <si>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</si>
  <si>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</si>
  <si>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</si>
  <si>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</si>
  <si>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</si>
  <si>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</si>
  <si>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</si>
  <si>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</si>
  <si>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</si>
  <si>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</si>
  <si>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</si>
  <si>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</si>
  <si>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</si>
  <si>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</si>
  <si>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</si>
  <si>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</si>
  <si>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</si>
  <si>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</si>
  <si>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</si>
  <si>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</si>
  <si>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</si>
  <si>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</si>
  <si>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</si>
  <si>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</si>
  <si>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</si>
  <si>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</si>
  <si>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</si>
  <si>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</si>
  <si>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</si>
  <si>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</si>
  <si>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</si>
  <si>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</si>
  <si>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</si>
  <si>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</si>
  <si>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</si>
  <si>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</si>
  <si>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</si>
  <si>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</si>
  <si>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</si>
  <si>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</si>
  <si>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</si>
  <si>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</si>
  <si>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</si>
  <si>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</si>
  <si>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</si>
  <si>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</si>
  <si>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</si>
  <si>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</si>
  <si>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</si>
  <si>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</si>
  <si>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</si>
  <si>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</si>
  <si>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</si>
  <si>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</si>
  <si>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</si>
  <si>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</si>
  <si>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</si>
  <si>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</si>
  <si>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</si>
  <si>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</si>
  <si>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</si>
  <si>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</si>
  <si>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</si>
  <si>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</si>
  <si>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</si>
  <si>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</si>
  <si>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</si>
  <si>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</si>
  <si>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</si>
  <si>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</si>
  <si>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</si>
  <si>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</si>
  <si>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</si>
  <si>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</si>
  <si>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</si>
  <si>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</si>
  <si>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</si>
  <si>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</si>
  <si>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</si>
  <si>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</si>
  <si>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</si>
  <si>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</si>
  <si>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</si>
  <si>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</si>
  <si>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</si>
  <si>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</si>
  <si>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</si>
  <si>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</si>
  <si>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</si>
  <si>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</si>
  <si>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</si>
  <si>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</si>
  <si>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</si>
  <si>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</si>
  <si>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</si>
  <si>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</si>
  <si>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</si>
  <si>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</si>
  <si>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</si>
  <si>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</si>
  <si>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</si>
  <si>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</si>
  <si>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</si>
  <si>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</si>
  <si>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</si>
  <si>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</si>
  <si>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</si>
  <si>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</si>
  <si>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</si>
  <si>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</si>
  <si>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</si>
  <si>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</si>
  <si>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</si>
  <si>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</si>
  <si>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</si>
  <si>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</si>
  <si>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</si>
  <si>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</si>
  <si>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</si>
  <si>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</si>
  <si>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</si>
  <si>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</si>
  <si>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</si>
  <si>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</si>
  <si>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</si>
  <si>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</si>
  <si>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</si>
  <si>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</si>
  <si>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</si>
  <si>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</si>
  <si>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</si>
  <si>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</si>
  <si>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</si>
  <si>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</si>
  <si>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</si>
  <si>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</si>
  <si>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</si>
  <si>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</si>
  <si>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</si>
  <si>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</si>
  <si>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</si>
  <si>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</si>
  <si>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</si>
  <si>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</si>
  <si>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</si>
  <si>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</si>
  <si>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</si>
  <si>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</si>
  <si>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</si>
  <si>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</si>
  <si>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</si>
  <si>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</si>
  <si>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</si>
  <si>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</si>
  <si>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</si>
  <si>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</si>
  <si>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</si>
  <si>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</si>
  <si>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</si>
  <si>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</si>
  <si>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</si>
  <si>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</si>
  <si>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</si>
  <si>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</si>
  <si>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</si>
  <si>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</si>
  <si>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</si>
  <si>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</si>
  <si>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</si>
  <si>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</si>
  <si>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</si>
  <si>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</si>
  <si>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</si>
  <si>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</si>
  <si>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</si>
  <si>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</si>
  <si>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</si>
  <si>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</si>
  <si>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</si>
  <si>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</si>
  <si>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</si>
  <si>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</si>
  <si>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</si>
  <si>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</si>
  <si>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</si>
  <si>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</si>
  <si>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</si>
  <si>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</si>
  <si>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</si>
  <si>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</si>
  <si>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</si>
  <si>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</si>
  <si>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</si>
  <si>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</si>
  <si>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</si>
  <si>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</si>
  <si>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</si>
  <si>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</si>
  <si>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</si>
  <si>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</si>
  <si>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</si>
  <si>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</si>
  <si>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</si>
  <si>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</si>
  <si>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</si>
  <si>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</si>
  <si>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</si>
  <si>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</si>
  <si>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</si>
  <si>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</si>
  <si>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</si>
  <si>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</si>
  <si>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</si>
  <si>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</si>
  <si>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</si>
  <si>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</si>
  <si>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</si>
  <si>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</si>
  <si>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</si>
  <si>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</si>
  <si>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</si>
  <si>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</si>
  <si>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</si>
  <si>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</si>
  <si>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</si>
  <si>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</si>
  <si>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</si>
  <si>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</si>
  <si>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</si>
  <si>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</si>
  <si>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</si>
  <si>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</si>
  <si>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</si>
  <si>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</si>
  <si>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</si>
  <si>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</si>
  <si>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</si>
  <si>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</si>
  <si>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</si>
  <si>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</si>
  <si>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</si>
  <si>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</si>
  <si>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</si>
  <si>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</si>
  <si>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</si>
  <si>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</si>
  <si>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</si>
  <si>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</si>
  <si>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</si>
  <si>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</si>
  <si>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</si>
  <si>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</si>
  <si>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</si>
  <si>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</si>
  <si>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</si>
  <si>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</si>
  <si>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</si>
  <si>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</si>
  <si>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</si>
  <si>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</si>
  <si>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</si>
  <si>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</si>
  <si>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</si>
  <si>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</si>
  <si>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</si>
  <si>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</si>
  <si>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</si>
  <si>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</si>
  <si>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</si>
  <si>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</si>
  <si>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</si>
  <si>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</si>
  <si>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</si>
  <si>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</si>
  <si>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</si>
  <si>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</si>
  <si>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</si>
  <si>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</si>
  <si>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</si>
  <si>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</si>
  <si>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</si>
  <si>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</si>
  <si>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</si>
  <si>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</si>
  <si>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</si>
  <si>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</si>
  <si>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</si>
  <si>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</si>
  <si>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</si>
  <si>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</si>
  <si>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</si>
  <si>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</si>
  <si>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</si>
  <si>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</si>
  <si>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</si>
  <si>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</si>
  <si>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</si>
  <si>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</si>
  <si>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</si>
  <si>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</si>
  <si>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</si>
  <si>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</si>
  <si>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</si>
  <si>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</si>
  <si>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</si>
  <si>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</si>
  <si>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</si>
  <si>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</si>
  <si>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</si>
  <si>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</si>
  <si>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</si>
  <si>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</si>
  <si>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</si>
  <si>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</si>
  <si>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</si>
  <si>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</si>
  <si>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</si>
  <si>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</si>
  <si>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</si>
  <si>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</si>
  <si>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</si>
  <si>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</si>
  <si>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</si>
  <si>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</si>
  <si>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</si>
  <si>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</si>
  <si>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</si>
  <si>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</si>
  <si>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</si>
  <si>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</si>
  <si>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</si>
  <si>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</si>
  <si>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</si>
  <si>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</si>
  <si>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</si>
  <si>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</si>
  <si>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</si>
  <si>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</si>
  <si>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</si>
  <si>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</si>
  <si>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</si>
  <si>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</si>
  <si>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</si>
  <si>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</si>
  <si>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</si>
  <si>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</si>
  <si>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</si>
  <si>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</si>
  <si>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</si>
  <si>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</si>
  <si>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</si>
  <si>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</si>
  <si>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</si>
  <si>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</si>
  <si>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</si>
  <si>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</si>
  <si>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</si>
  <si>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</si>
  <si>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</si>
  <si>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</si>
  <si>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</si>
  <si>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</si>
  <si>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</si>
  <si>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</si>
  <si>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</si>
  <si>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</si>
  <si>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</si>
  <si>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</si>
  <si>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</si>
  <si>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</si>
  <si>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</si>
  <si>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</si>
  <si>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</si>
  <si>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</si>
  <si>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</si>
  <si>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</si>
  <si>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</si>
  <si>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</si>
  <si>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</si>
  <si>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</si>
  <si>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</si>
  <si>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</si>
  <si>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</si>
  <si>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</si>
  <si>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</si>
  <si>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</si>
  <si>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</si>
  <si>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</si>
  <si>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</si>
  <si>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</si>
  <si>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</si>
  <si>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</si>
  <si>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</si>
  <si>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</si>
  <si>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</si>
  <si>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</si>
  <si>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</si>
  <si>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</si>
  <si>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</si>
  <si>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</si>
  <si>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</si>
  <si>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</si>
  <si>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</si>
  <si>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</si>
  <si>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</si>
  <si>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</si>
  <si>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</si>
  <si>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</si>
  <si>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</si>
  <si>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</si>
  <si>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</si>
  <si>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</si>
  <si>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</si>
  <si>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</si>
  <si>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</si>
  <si>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</si>
  <si>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</si>
  <si>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</si>
  <si>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</si>
  <si>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</si>
  <si>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</si>
  <si>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</si>
  <si>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</si>
  <si>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</si>
  <si>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</si>
  <si>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</si>
  <si>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</si>
  <si>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</si>
  <si>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</si>
  <si>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</si>
  <si>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</si>
  <si>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</si>
  <si>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</si>
  <si>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</si>
  <si>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</si>
  <si>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</si>
  <si>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</si>
  <si>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</si>
  <si>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</si>
  <si>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</si>
  <si>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</si>
  <si>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</si>
  <si>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</si>
  <si>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</si>
  <si>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</si>
  <si>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</si>
  <si>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</si>
  <si>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</si>
  <si>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</si>
  <si>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</si>
  <si>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</si>
  <si>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</si>
  <si>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</si>
  <si>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</si>
  <si>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</si>
  <si>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</si>
  <si>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</si>
  <si>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</si>
  <si>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</si>
  <si>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</si>
  <si>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</si>
  <si>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</si>
  <si>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</si>
  <si>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</si>
  <si>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</si>
  <si>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</si>
  <si>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</si>
  <si>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</si>
  <si>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</si>
  <si>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</si>
  <si>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</si>
  <si>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</si>
  <si>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</si>
  <si>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</si>
  <si>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</si>
  <si>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</si>
  <si>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</si>
  <si>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</si>
  <si>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</si>
  <si>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</si>
  <si>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</si>
  <si>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</si>
  <si>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</si>
  <si>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</si>
  <si>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</si>
  <si>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</si>
  <si>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</si>
  <si>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</si>
  <si>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</si>
  <si>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</si>
  <si>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</si>
  <si>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</si>
  <si>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</si>
  <si>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</si>
  <si>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</si>
  <si>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</si>
  <si>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</si>
  <si>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</si>
  <si>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</si>
  <si>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</si>
  <si>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</si>
  <si>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</si>
  <si>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</si>
  <si>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</si>
  <si>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</si>
  <si>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</si>
  <si>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</si>
  <si>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</si>
  <si>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</si>
  <si>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</si>
  <si>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</si>
  <si>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</si>
  <si>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</si>
  <si>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</si>
  <si>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</si>
  <si>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</si>
  <si>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</si>
  <si>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</si>
  <si>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</si>
  <si>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</si>
  <si>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</si>
  <si>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</si>
  <si>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</si>
  <si>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</si>
  <si>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</si>
  <si>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</si>
  <si>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</si>
  <si>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</si>
  <si>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</si>
  <si>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</si>
  <si>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</si>
  <si>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</si>
  <si>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</si>
  <si>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</si>
  <si>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</si>
  <si>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</si>
  <si>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</si>
  <si>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</si>
  <si>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</si>
  <si>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</si>
  <si>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</si>
  <si>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</si>
  <si>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</si>
  <si>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</si>
  <si>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</si>
  <si>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</si>
  <si>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</si>
  <si>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</si>
  <si>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</si>
  <si>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</si>
  <si>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</si>
  <si>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</si>
  <si>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</si>
  <si>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</si>
  <si>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</si>
  <si>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</si>
  <si>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</si>
  <si>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</si>
  <si>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</si>
  <si>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</si>
  <si>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</si>
  <si>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</si>
  <si>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</si>
  <si>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</si>
  <si>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</si>
  <si>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</si>
  <si>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</si>
  <si>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</si>
  <si>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</si>
  <si>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</si>
  <si>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</si>
  <si>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</si>
  <si>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</si>
  <si>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</si>
  <si>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</si>
  <si>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</si>
  <si>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</si>
  <si>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</si>
  <si>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</si>
  <si>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</si>
  <si>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</si>
  <si>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</si>
  <si>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</si>
  <si>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</si>
  <si>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</si>
  <si>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</si>
  <si>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</si>
  <si>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</si>
  <si>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</si>
  <si>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</si>
  <si>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</si>
  <si>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</si>
  <si>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</si>
  <si>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</si>
  <si>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</si>
  <si>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</si>
  <si>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</si>
  <si>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</si>
  <si>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</si>
  <si>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</si>
  <si>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</si>
  <si>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</si>
  <si>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</si>
  <si>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</si>
  <si>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</si>
  <si>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</si>
  <si>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</si>
  <si>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</si>
  <si>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</si>
  <si>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</si>
  <si>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</si>
  <si>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</si>
  <si>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</si>
  <si>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</si>
  <si>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</si>
  <si>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</si>
  <si>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</si>
  <si>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</si>
  <si>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</si>
  <si>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</si>
  <si>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</si>
  <si>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</si>
  <si>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</si>
  <si>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</si>
  <si>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</si>
  <si>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</si>
  <si>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</si>
  <si>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</si>
  <si>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</si>
  <si>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</si>
  <si>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</si>
  <si>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</si>
  <si>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</si>
  <si>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</si>
  <si>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</si>
  <si>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</si>
  <si>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</si>
  <si>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</si>
  <si>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</si>
  <si>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</si>
  <si>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</si>
  <si>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</si>
  <si>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</si>
  <si>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</si>
  <si>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</si>
  <si>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</si>
  <si>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</si>
  <si>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</si>
  <si>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</si>
  <si>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</si>
  <si>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</si>
  <si>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</si>
  <si>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</si>
  <si>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</si>
  <si>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</si>
  <si>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</si>
  <si>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</si>
  <si>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</si>
  <si>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</si>
  <si>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</si>
  <si>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</si>
  <si>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</si>
  <si>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</si>
  <si>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</si>
  <si>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</si>
  <si>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</si>
  <si>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</si>
  <si>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</si>
  <si>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</si>
  <si>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</si>
  <si>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</si>
  <si>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</si>
  <si>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</si>
  <si>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</si>
  <si>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</si>
  <si>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</si>
  <si>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</si>
  <si>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</si>
  <si>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</si>
  <si>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</si>
  <si>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</si>
  <si>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</si>
  <si>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</si>
  <si>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</si>
  <si>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</si>
  <si>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</si>
  <si>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</si>
  <si>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</si>
  <si>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</si>
  <si>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</si>
  <si>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</si>
  <si>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</si>
  <si>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</si>
  <si>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</si>
  <si>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</si>
  <si>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</si>
  <si>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</si>
  <si>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</si>
  <si>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</si>
  <si>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</si>
  <si>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</si>
  <si>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</si>
  <si>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</si>
  <si>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</si>
  <si>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</si>
  <si>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</si>
  <si>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</si>
  <si>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</si>
  <si>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</si>
  <si>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</si>
  <si>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</si>
  <si>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</si>
  <si>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</si>
  <si>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</si>
  <si>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</si>
  <si>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</si>
  <si>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</si>
  <si>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</si>
  <si>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</si>
  <si>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</si>
  <si>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</si>
  <si>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</si>
  <si>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</si>
  <si>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</si>
  <si>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</si>
  <si>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</si>
  <si>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</si>
  <si>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</si>
  <si>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</si>
  <si>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</si>
  <si>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</si>
  <si>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</si>
  <si>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</si>
  <si>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</si>
  <si>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</si>
  <si>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</si>
  <si>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</si>
  <si>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</si>
  <si>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</si>
  <si>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</si>
  <si>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</si>
  <si>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</si>
  <si>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</si>
  <si>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</si>
  <si>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</si>
  <si>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</si>
  <si>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</si>
  <si>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</si>
  <si>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</si>
  <si>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</si>
  <si>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</si>
  <si>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</si>
  <si>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</si>
  <si>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</si>
  <si>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</si>
  <si>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</si>
  <si>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</si>
  <si>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</si>
  <si>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</si>
  <si>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</si>
  <si>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</si>
  <si>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</si>
  <si>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</si>
  <si>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</si>
  <si>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</si>
  <si>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</si>
  <si>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</si>
  <si>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</si>
  <si>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</si>
  <si>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</si>
  <si>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</si>
  <si>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</si>
  <si>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</si>
  <si>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</si>
  <si>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</si>
  <si>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</si>
  <si>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</si>
  <si>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</si>
  <si>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</si>
  <si>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</si>
  <si>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</si>
  <si>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</si>
  <si>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</si>
  <si>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</si>
  <si>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</si>
  <si>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</si>
  <si>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</si>
  <si>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</si>
  <si>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</si>
  <si>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</si>
  <si>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</si>
  <si>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</si>
  <si>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</si>
  <si>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</si>
  <si>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</si>
  <si>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</si>
  <si>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</si>
  <si>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</si>
  <si>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</si>
  <si>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</si>
  <si>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</si>
  <si>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</si>
  <si>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</si>
  <si>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</si>
  <si>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</si>
  <si>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</si>
  <si>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</si>
  <si>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</si>
  <si>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</si>
  <si>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</si>
  <si>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</si>
  <si>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</si>
  <si>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</si>
  <si>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</si>
  <si>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</si>
  <si>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</si>
  <si>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</si>
  <si>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</si>
  <si>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</si>
  <si>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</si>
  <si>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</si>
  <si>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</si>
  <si>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</si>
  <si>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</si>
  <si>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</si>
  <si>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</si>
  <si>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</si>
  <si>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</si>
  <si>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</si>
  <si>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</si>
  <si>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</si>
  <si>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</si>
  <si>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</si>
  <si>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</si>
  <si>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</si>
  <si>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</si>
  <si>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</si>
  <si>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</si>
  <si>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</si>
  <si>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</si>
  <si>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</si>
  <si>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</si>
  <si>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</si>
  <si>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</si>
  <si>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</si>
  <si>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</si>
  <si>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</si>
  <si>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</si>
  <si>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</si>
  <si>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</si>
  <si>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</si>
  <si>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</si>
  <si>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</si>
  <si>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</si>
  <si>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</si>
  <si>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</si>
  <si>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</si>
  <si>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</si>
  <si>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</si>
  <si>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</si>
  <si>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</si>
  <si>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</si>
  <si>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</si>
  <si>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</si>
  <si>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</si>
  <si>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</si>
  <si>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</si>
  <si>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</si>
  <si>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</si>
  <si>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</si>
  <si>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</si>
  <si>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</si>
  <si>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</si>
  <si>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</si>
  <si>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</si>
  <si>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</si>
  <si>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</si>
  <si>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</si>
  <si>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</si>
  <si>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</si>
  <si>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</si>
  <si>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</si>
  <si>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</si>
  <si>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</si>
  <si>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</si>
  <si>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</si>
  <si>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</si>
  <si>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</si>
  <si>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</si>
  <si>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</si>
  <si>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</si>
  <si>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</si>
  <si>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</si>
  <si>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</si>
  <si>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</si>
  <si>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</si>
  <si>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</si>
  <si>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</si>
  <si>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</si>
  <si>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</si>
  <si>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</si>
  <si>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</si>
  <si>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</si>
  <si>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</si>
  <si>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</si>
  <si>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</si>
  <si>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</si>
  <si>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</si>
  <si>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</si>
  <si>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</si>
  <si>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</si>
  <si>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</si>
  <si>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</si>
  <si>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</si>
  <si>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</si>
  <si>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</si>
  <si>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</si>
  <si>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</si>
  <si>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</si>
  <si>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</si>
  <si>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</si>
  <si>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</si>
  <si>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</si>
  <si>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</si>
  <si>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</si>
  <si>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</si>
  <si>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</si>
  <si>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</si>
  <si>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</si>
  <si>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</si>
  <si>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</si>
  <si>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</si>
  <si>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</si>
  <si>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</si>
  <si>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</si>
  <si>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</si>
  <si>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</si>
  <si>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</si>
  <si>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</si>
  <si>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</si>
  <si>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</si>
  <si>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</si>
  <si>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</si>
  <si>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</si>
  <si>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</si>
  <si>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</si>
  <si>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</si>
  <si>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</si>
  <si>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</si>
  <si>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</si>
  <si>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</si>
  <si>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</si>
  <si>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</si>
  <si>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</si>
  <si>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</si>
  <si>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</si>
  <si>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</si>
  <si>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</si>
  <si>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</si>
  <si>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</si>
  <si>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</si>
  <si>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</si>
  <si>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</si>
  <si>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</si>
  <si>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</si>
  <si>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</si>
  <si>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</si>
  <si>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</si>
  <si>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</si>
  <si>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</si>
  <si>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</si>
  <si>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</si>
  <si>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</si>
  <si>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</si>
  <si>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</si>
  <si>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</si>
  <si>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</si>
  <si>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</si>
  <si>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</si>
  <si>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</si>
  <si>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</si>
  <si>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</si>
  <si>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</si>
  <si>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</si>
  <si>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</si>
  <si>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</si>
  <si>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</si>
  <si>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</si>
  <si>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</si>
  <si>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</si>
  <si>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</si>
  <si>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</si>
  <si>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</si>
  <si>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</si>
  <si>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</si>
  <si>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</si>
  <si>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</si>
  <si>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</si>
  <si>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</si>
  <si>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</si>
  <si>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</si>
  <si>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</si>
  <si>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</si>
  <si>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</si>
  <si>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</si>
  <si>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</si>
  <si>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</si>
  <si>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</si>
  <si>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</si>
  <si>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</si>
  <si>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</si>
  <si>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</si>
  <si>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</si>
  <si>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</si>
  <si>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</si>
  <si>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</si>
  <si>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</si>
  <si>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</si>
  <si>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</si>
  <si>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</si>
  <si>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</si>
  <si>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</si>
  <si>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</si>
  <si>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</si>
  <si>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</si>
  <si>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</si>
  <si>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</si>
  <si>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</si>
  <si>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</si>
  <si>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</si>
  <si>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</si>
  <si>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</si>
  <si>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</si>
  <si>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</si>
  <si>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</si>
  <si>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</si>
  <si>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</si>
  <si>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</si>
  <si>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</si>
  <si>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</si>
  <si>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</si>
  <si>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</si>
  <si>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</si>
  <si>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</si>
  <si>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</si>
  <si>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</si>
  <si>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</si>
  <si>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</si>
  <si>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</si>
  <si>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</si>
  <si>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</si>
  <si>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</si>
  <si>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</si>
  <si>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</si>
  <si>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</si>
  <si>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</si>
  <si>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</si>
  <si>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</si>
  <si>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</si>
  <si>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</si>
  <si>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</si>
  <si>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</si>
  <si>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</si>
  <si>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</si>
  <si>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</si>
  <si>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</si>
  <si>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</si>
  <si>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</si>
  <si>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</si>
  <si>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</si>
  <si>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</si>
  <si>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</si>
  <si>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</si>
  <si>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</si>
  <si>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</si>
  <si>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</si>
  <si>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</si>
  <si>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</si>
  <si>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</si>
  <si>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</si>
  <si>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</si>
  <si>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</si>
  <si>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</si>
  <si>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</si>
  <si>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</si>
  <si>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</si>
  <si>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</si>
  <si>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</si>
  <si>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</si>
  <si>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</si>
  <si>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</si>
  <si>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</si>
  <si>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</si>
  <si>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</si>
  <si>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</si>
  <si>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</si>
  <si>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</si>
  <si>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</si>
  <si>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</si>
  <si>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</si>
  <si>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</si>
  <si>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</si>
  <si>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</si>
  <si>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</si>
  <si>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</si>
  <si>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</si>
  <si>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</si>
  <si>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</si>
  <si>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</si>
  <si>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</si>
  <si>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</si>
  <si>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</si>
  <si>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</si>
  <si>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</si>
  <si>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</si>
  <si>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</si>
  <si>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</si>
  <si>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</si>
  <si>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</si>
  <si>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</si>
  <si>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</si>
  <si>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</si>
  <si>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</si>
  <si>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</si>
  <si>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</si>
  <si>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</si>
  <si>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</si>
  <si>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</si>
  <si>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</si>
  <si>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</si>
  <si>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</si>
  <si>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</si>
  <si>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</si>
  <si>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</si>
  <si>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</si>
  <si>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</si>
  <si>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</si>
  <si>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</si>
  <si>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</si>
  <si>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</si>
  <si>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</si>
  <si>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</si>
  <si>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</si>
  <si>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</si>
  <si>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</si>
  <si>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</si>
  <si>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</si>
  <si>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</si>
  <si>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</si>
  <si>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</si>
  <si>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</si>
  <si>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</si>
  <si>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</si>
  <si>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</si>
  <si>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</si>
  <si>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</si>
  <si>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</si>
  <si>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</si>
  <si>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</si>
  <si>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</si>
  <si>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</si>
  <si>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</si>
  <si>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</si>
  <si>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</si>
  <si>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</si>
  <si>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</si>
  <si>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</si>
  <si>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</si>
  <si>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</si>
  <si>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</si>
  <si>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</si>
  <si>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</si>
  <si>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</si>
  <si>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</si>
  <si>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</si>
  <si>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</si>
  <si>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</si>
  <si>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</si>
  <si>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</si>
  <si>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</si>
  <si>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</si>
  <si>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</si>
  <si>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</si>
  <si>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</si>
  <si>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</si>
  <si>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</si>
  <si>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</si>
  <si>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</si>
  <si>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</si>
  <si>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</si>
  <si>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</si>
  <si>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</si>
  <si>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</si>
  <si>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</si>
  <si>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</si>
  <si>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</si>
  <si>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</si>
  <si>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</si>
  <si>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</si>
  <si>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</si>
  <si>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</si>
  <si>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</si>
  <si>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</si>
  <si>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</si>
  <si>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</si>
  <si>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</si>
  <si>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</si>
  <si>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</si>
  <si>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</si>
  <si>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</si>
  <si>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</si>
  <si>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</si>
  <si>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</si>
  <si>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</si>
  <si>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</si>
  <si>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</si>
  <si>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</si>
  <si>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</si>
  <si>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</si>
  <si>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</si>
  <si>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</si>
  <si>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</si>
  <si>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</si>
  <si>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</si>
  <si>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</si>
  <si>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</si>
  <si>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</si>
  <si>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</si>
  <si>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</si>
  <si>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</si>
  <si>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</si>
  <si>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</si>
  <si>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</si>
  <si>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</si>
  <si>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</si>
  <si>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</si>
  <si>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</si>
  <si>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</si>
  <si>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</si>
  <si>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</si>
  <si>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</si>
  <si>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</si>
  <si>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</si>
  <si>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</si>
  <si>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</si>
  <si>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</si>
  <si>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</si>
  <si>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</si>
  <si>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</si>
  <si>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</si>
  <si>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</si>
  <si>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</si>
  <si>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</si>
  <si>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</si>
  <si>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</si>
  <si>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</si>
  <si>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</si>
  <si>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</si>
  <si>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</si>
  <si>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</si>
  <si>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</si>
  <si>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</si>
  <si>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</si>
  <si>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</si>
  <si>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</si>
  <si>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</si>
  <si>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</si>
  <si>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</si>
  <si>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</si>
  <si>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</si>
  <si>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</si>
  <si>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</si>
  <si>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</si>
  <si>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</si>
  <si>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</si>
  <si>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</si>
  <si>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</si>
  <si>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</si>
  <si>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</si>
  <si>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</si>
  <si>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</si>
  <si>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</si>
  <si>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</si>
  <si>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</si>
  <si>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</si>
  <si>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</si>
  <si>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</si>
  <si>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</si>
  <si>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</si>
  <si>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</si>
  <si>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</si>
  <si>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</si>
  <si>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</si>
  <si>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</si>
  <si>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</si>
  <si>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</si>
  <si>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</si>
  <si>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</si>
  <si>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</si>
  <si>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</si>
  <si>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</si>
  <si>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</si>
  <si>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</si>
  <si>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</si>
  <si>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</si>
  <si>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</si>
  <si>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</si>
  <si>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</si>
  <si>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</si>
  <si>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</si>
  <si>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</si>
  <si>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</si>
  <si>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</si>
  <si>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</si>
  <si>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</si>
  <si>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</si>
  <si>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</si>
  <si>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</si>
  <si>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</si>
  <si>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</si>
  <si>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</si>
  <si>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</si>
  <si>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</si>
  <si>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</si>
  <si>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</si>
  <si>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</si>
  <si>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</si>
  <si>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</si>
  <si>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</si>
  <si>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</si>
  <si>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</si>
  <si>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</si>
  <si>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</si>
  <si>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</si>
  <si>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</si>
  <si>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</si>
  <si>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</si>
  <si>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</si>
  <si>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</si>
  <si>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</si>
  <si>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</si>
  <si>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</si>
  <si>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</si>
  <si>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</si>
  <si>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</si>
  <si>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</si>
  <si>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</si>
  <si>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</si>
  <si>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</si>
  <si>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</si>
  <si>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</si>
  <si>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</si>
  <si>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</si>
  <si>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</si>
  <si>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</si>
  <si>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</si>
  <si>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</si>
  <si>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</si>
  <si>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</si>
  <si>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</si>
  <si>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</si>
  <si>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</si>
  <si>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</si>
  <si>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</si>
  <si>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</si>
  <si>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</si>
  <si>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</si>
  <si>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</si>
  <si>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</si>
  <si>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</si>
  <si>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</si>
  <si>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</si>
  <si>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</si>
  <si>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</si>
  <si>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</si>
  <si>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</si>
  <si>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</si>
  <si>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</si>
  <si>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</si>
  <si>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</si>
  <si>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</si>
  <si>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</si>
  <si>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</si>
  <si>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</si>
  <si>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</si>
  <si>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</si>
  <si>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</si>
  <si>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</si>
  <si>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</si>
  <si>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</si>
  <si>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</si>
  <si>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</si>
  <si>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</si>
  <si>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</si>
  <si>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</si>
  <si>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</si>
  <si>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</si>
  <si>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</si>
  <si>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</si>
  <si>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</si>
  <si>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</si>
  <si>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</si>
  <si>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</si>
  <si>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</si>
  <si>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</si>
  <si>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</si>
  <si>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</si>
  <si>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</si>
  <si>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</si>
  <si>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</si>
  <si>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</si>
  <si>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</si>
  <si>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</si>
  <si>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</si>
  <si>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</si>
  <si>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</si>
  <si>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</si>
  <si>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</si>
  <si>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</si>
  <si>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</si>
  <si>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</si>
  <si>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</si>
  <si>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</si>
  <si>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</si>
  <si>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</si>
  <si>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</si>
  <si>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</si>
  <si>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</si>
  <si>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</si>
  <si>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</si>
  <si>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</si>
  <si>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</si>
  <si>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</si>
  <si>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</si>
  <si>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</si>
  <si>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</si>
  <si>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</si>
  <si>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</si>
  <si>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</si>
  <si>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</si>
  <si>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</si>
  <si>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</si>
  <si>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</si>
  <si>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</si>
  <si>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</si>
  <si>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</si>
  <si>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</si>
  <si>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</si>
  <si>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</si>
  <si>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</si>
  <si>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</si>
  <si>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</si>
  <si>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</si>
  <si>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</si>
  <si>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</si>
  <si>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</si>
  <si>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</si>
  <si>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</si>
  <si>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</si>
  <si>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</si>
  <si>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</si>
  <si>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</si>
  <si>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</si>
  <si>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</si>
  <si>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</si>
  <si>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</si>
  <si>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</si>
  <si>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</si>
  <si>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</si>
  <si>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</si>
  <si>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</si>
  <si>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</si>
  <si>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</si>
  <si>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</si>
  <si>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</si>
  <si>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</si>
  <si>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</si>
  <si>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</si>
  <si>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</si>
  <si>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</si>
  <si>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</si>
  <si>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</si>
  <si>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</si>
  <si>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</si>
  <si>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</si>
  <si>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</si>
  <si>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</si>
  <si>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</si>
  <si>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</si>
  <si>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</si>
  <si>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</si>
  <si>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</si>
  <si>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</si>
  <si>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</si>
  <si>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</si>
  <si>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</si>
  <si>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</si>
  <si>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</si>
  <si>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</si>
  <si>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</si>
  <si>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</si>
  <si>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</si>
  <si>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</si>
  <si>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</si>
  <si>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</si>
  <si>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</si>
  <si>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</si>
  <si>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</si>
  <si>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</si>
  <si>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</si>
  <si>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</si>
  <si>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</si>
  <si>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</si>
  <si>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</si>
  <si>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</si>
  <si>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</si>
  <si>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</si>
  <si>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</si>
  <si>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</si>
  <si>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</si>
  <si>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</si>
  <si>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</si>
  <si>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</si>
  <si>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</si>
  <si>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</si>
  <si>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</si>
  <si>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</si>
  <si>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</si>
  <si>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</si>
  <si>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</si>
  <si>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</si>
  <si>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</si>
  <si>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</si>
  <si>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</si>
  <si>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</si>
  <si>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</si>
  <si>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</si>
  <si>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</si>
  <si>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</si>
  <si>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</si>
  <si>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</si>
  <si>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</si>
  <si>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</si>
  <si>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</si>
  <si>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</si>
  <si>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</si>
  <si>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</si>
  <si>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</si>
  <si>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</si>
  <si>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</si>
  <si>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</si>
  <si>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</si>
  <si>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</si>
  <si>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</si>
  <si>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</si>
  <si>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</si>
  <si>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</si>
  <si>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</si>
  <si>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</si>
  <si>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</si>
  <si>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</si>
  <si>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</si>
  <si>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</si>
  <si>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</si>
  <si>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</si>
  <si>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</si>
  <si>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</si>
  <si>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</si>
  <si>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</si>
  <si>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</si>
  <si>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</si>
  <si>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</si>
  <si>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</si>
  <si>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</si>
  <si>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</si>
  <si>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</si>
  <si>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</si>
  <si>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</si>
  <si>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</si>
  <si>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</si>
  <si>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</si>
  <si>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</si>
  <si>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</si>
  <si>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</si>
  <si>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</si>
  <si>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</si>
  <si>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</si>
  <si>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</si>
  <si>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</si>
  <si>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</si>
  <si>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</si>
  <si>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</si>
  <si>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</si>
  <si>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</si>
  <si>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</si>
  <si>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</si>
  <si>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</si>
  <si>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</si>
  <si>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</si>
  <si>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</si>
  <si>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</si>
  <si>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</si>
  <si>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西城区西直门外大街南路甲28号</t>
    <phoneticPr fontId="135" type="noConversion"/>
  </si>
  <si>
    <t>北京市</t>
  </si>
  <si>
    <t>企业</t>
  </si>
  <si>
    <t>北京金融科技中心</t>
    <phoneticPr fontId="135" type="noConversion"/>
  </si>
  <si>
    <t>A座</t>
    <phoneticPr fontId="135" type="noConversion"/>
  </si>
  <si>
    <t>1层</t>
    <phoneticPr fontId="135" type="noConversion"/>
  </si>
  <si>
    <t>商业</t>
    <phoneticPr fontId="135" type="noConversion"/>
  </si>
  <si>
    <t>2层</t>
    <phoneticPr fontId="135" type="noConversion"/>
  </si>
  <si>
    <t>3层</t>
    <phoneticPr fontId="135" type="noConversion"/>
  </si>
  <si>
    <t>4层</t>
    <phoneticPr fontId="135" type="noConversion"/>
  </si>
  <si>
    <t>5层</t>
    <phoneticPr fontId="135" type="noConversion"/>
  </si>
  <si>
    <t>B座</t>
    <phoneticPr fontId="135" type="noConversion"/>
  </si>
  <si>
    <t>序号</t>
  </si>
  <si>
    <t>不动产权证证号</t>
  </si>
  <si>
    <t>坐落</t>
  </si>
  <si>
    <t>建筑面积</t>
  </si>
  <si>
    <t>房地产价值</t>
  </si>
  <si>
    <t>净值</t>
    <phoneticPr fontId="135" type="noConversion"/>
  </si>
  <si>
    <t>地下车库</t>
    <phoneticPr fontId="135" type="noConversion"/>
  </si>
  <si>
    <t>收益价值合计</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</si>
  <si>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</si>
  <si>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西城区西直门外大街南路甲28号1层等5套</t>
    <phoneticPr fontId="135" type="noConversion"/>
  </si>
  <si>
    <t>2层</t>
  </si>
  <si>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</si>
  <si>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</si>
  <si>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t>3层</t>
  </si>
  <si>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</si>
  <si>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</si>
  <si>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t>4层</t>
  </si>
  <si>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</si>
  <si>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</si>
  <si>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5层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</si>
  <si>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</si>
  <si>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西城区西直门外大街南路28号、甲28号1幢-03层</t>
  </si>
  <si>
    <t>6层</t>
  </si>
  <si>
    <t>7层</t>
  </si>
  <si>
    <t>合计</t>
  </si>
  <si>
    <t>8层</t>
  </si>
  <si>
    <t>9层</t>
  </si>
  <si>
    <t>10层</t>
  </si>
  <si>
    <t>11层</t>
  </si>
  <si>
    <t>12层</t>
  </si>
  <si>
    <t>二级05</t>
    <phoneticPr fontId="135" type="noConversion"/>
  </si>
  <si>
    <t>地价系数</t>
    <phoneticPr fontId="135" type="noConversion"/>
  </si>
  <si>
    <t>13层</t>
  </si>
  <si>
    <t>14层</t>
  </si>
  <si>
    <t>15层</t>
  </si>
  <si>
    <t>16层</t>
  </si>
  <si>
    <t>17层</t>
  </si>
  <si>
    <t>18层</t>
  </si>
  <si>
    <t>19层</t>
    <phoneticPr fontId="135" type="noConversion"/>
  </si>
  <si>
    <t>地下1层</t>
    <phoneticPr fontId="135" type="noConversion"/>
  </si>
  <si>
    <t>车库</t>
    <phoneticPr fontId="135" type="noConversion"/>
  </si>
  <si>
    <t>地下2层</t>
    <phoneticPr fontId="135" type="noConversion"/>
  </si>
  <si>
    <t>商业年收益</t>
    <phoneticPr fontId="135" type="noConversion"/>
  </si>
  <si>
    <t>等于重置成新价</t>
    <phoneticPr fontId="135" type="noConversion"/>
  </si>
  <si>
    <t>地下3层</t>
    <phoneticPr fontId="135" type="noConversion"/>
  </si>
  <si>
    <t>土地</t>
    <phoneticPr fontId="135" type="noConversion"/>
  </si>
  <si>
    <t>建筑物</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</si>
  <si>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</si>
  <si>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</si>
  <si>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</si>
  <si>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</si>
  <si>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</si>
  <si>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</si>
  <si>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</si>
  <si>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总计</t>
    <phoneticPr fontId="135" type="noConversion"/>
  </si>
  <si>
    <t>商业部分土地价值按收益价值拆分后，加建筑物重置成新价计算房地价值</t>
    <phoneticPr fontId="135" type="noConversion"/>
  </si>
  <si>
    <t>6层以上</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</si>
  <si>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</si>
  <si>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</si>
  <si>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办公及车库</t>
    <phoneticPr fontId="135"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</si>
  <si>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</si>
  <si>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</si>
  <si>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</si>
  <si>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</si>
  <si>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</si>
  <si>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</si>
  <si>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</si>
  <si>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</si>
  <si>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</si>
  <si>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</si>
  <si>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</si>
  <si>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</si>
  <si>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</si>
  <si>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</si>
  <si>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</si>
  <si>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</si>
  <si>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</si>
  <si>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</si>
  <si>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</si>
  <si>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</si>
  <si>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</si>
  <si>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</si>
  <si>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</si>
  <si>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租金</t>
    <phoneticPr fontId="4" type="noConversion"/>
  </si>
  <si>
    <t>收益法价值</t>
    <phoneticPr fontId="4" type="noConversion"/>
  </si>
  <si>
    <t>建筑物价值</t>
    <phoneticPr fontId="4" type="noConversion"/>
  </si>
  <si>
    <t>A座年收益</t>
    <phoneticPr fontId="4" type="noConversion"/>
  </si>
  <si>
    <t>B座年收益</t>
    <phoneticPr fontId="4" type="noConversion"/>
  </si>
  <si>
    <t>实际办公</t>
    <phoneticPr fontId="4" type="noConversion"/>
  </si>
  <si>
    <t>地下收益</t>
    <phoneticPr fontId="4" type="noConversion"/>
  </si>
  <si>
    <t>地下1层</t>
    <phoneticPr fontId="4" type="noConversion"/>
  </si>
  <si>
    <t>地下2层</t>
  </si>
  <si>
    <t>土地拆分</t>
    <phoneticPr fontId="4" type="noConversion"/>
  </si>
  <si>
    <t>年收益</t>
    <phoneticPr fontId="4" type="noConversion"/>
  </si>
  <si>
    <t>地下商业</t>
    <phoneticPr fontId="4" type="noConversion"/>
  </si>
  <si>
    <t>土地面积</t>
    <phoneticPr fontId="135" type="noConversion"/>
  </si>
  <si>
    <t>A座1层</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</si>
  <si>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</si>
  <si>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</si>
  <si>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</si>
  <si>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</si>
  <si>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</si>
  <si>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</si>
  <si>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</si>
  <si>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</si>
  <si>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</si>
  <si>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</si>
  <si>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</si>
  <si>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</si>
  <si>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</si>
  <si>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</si>
  <si>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</si>
  <si>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</si>
  <si>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</si>
  <si>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</si>
  <si>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</si>
  <si>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</si>
  <si>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</si>
  <si>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</si>
  <si>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</si>
  <si>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t>地下1层</t>
  </si>
  <si>
    <t>地下3层</t>
  </si>
  <si>
    <t>是</t>
  </si>
  <si>
    <t>地上</t>
  </si>
  <si>
    <t>办公楼</t>
  </si>
  <si>
    <t>地下</t>
  </si>
  <si>
    <t>地下车库</t>
    <phoneticPr fontId="4" type="noConversion"/>
  </si>
  <si>
    <t>成新度</t>
  </si>
  <si>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</si>
  <si>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</si>
  <si>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</si>
  <si>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</si>
  <si>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</si>
  <si>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</si>
  <si>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</si>
  <si>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</si>
  <si>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</si>
  <si>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</si>
  <si>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</si>
  <si>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</si>
  <si>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</si>
  <si>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</si>
  <si>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</si>
  <si>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</si>
  <si>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</si>
  <si>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</si>
  <si>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</si>
  <si>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</si>
  <si>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</si>
  <si>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</si>
  <si>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</si>
  <si>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</si>
  <si>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否</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</si>
  <si>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</si>
  <si>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</si>
  <si>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</si>
  <si>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</si>
  <si>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</si>
  <si>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</si>
  <si>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</si>
  <si>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</si>
  <si>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</si>
  <si>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</si>
  <si>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</si>
  <si>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</si>
  <si>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</si>
  <si>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</si>
  <si>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</si>
  <si>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</si>
  <si>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</si>
  <si>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</si>
  <si>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</si>
  <si>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</si>
  <si>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</si>
  <si>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</si>
  <si>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</si>
  <si>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</si>
  <si>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</si>
  <si>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</si>
  <si>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</si>
  <si>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</si>
  <si>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</si>
  <si>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</si>
  <si>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</si>
  <si>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</si>
  <si>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成本法</t>
    <phoneticPr fontId="4" type="noConversion"/>
  </si>
  <si>
    <t>总价</t>
    <phoneticPr fontId="4" type="noConversion"/>
  </si>
  <si>
    <t>比较法</t>
    <phoneticPr fontId="9" type="noConversion"/>
  </si>
  <si>
    <t>收益法</t>
    <phoneticPr fontId="9" type="noConversion"/>
  </si>
  <si>
    <t>比较法-办公</t>
  </si>
  <si>
    <t>收益法（汇总）</t>
  </si>
  <si>
    <t>项目模式</t>
  </si>
  <si>
    <t>售价</t>
  </si>
  <si>
    <t>现房</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</si>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</sst>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Arial Unicode MS"/>
      <family val="2"/>
      <charset val="134"/>
    </font>
    <font>
      <sz val="9"/>
      <color rgb="FF000000"/>
      <name val="宋体"/>
      <family val="3"/>
      <charset val="134"/>
    </font>
    <font>
      <b/>
      <sz val="11"/>
      <color theme="1"/>
      <name val="Arial Unicode MS"/>
      <family val="2"/>
      <charset val="134"/>
    </font>
    <font>
      <sz val="11"/>
      <color rgb="FFFF0000"/>
      <name val="Arial Unicode MS"/>
      <family val="2"/>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0" fontId="271" fillId="0" borderId="0" xfId="19" applyFont="1"/>
    <xf numFmtId="0" fontId="271" fillId="0" borderId="0" xfId="19" applyFont="1" applyAlignment="1">
      <alignment vertical="center"/>
    </xf>
    <xf numFmtId="0" fontId="271" fillId="0" borderId="1" xfId="19" applyFont="1" applyBorder="1" applyAlignment="1">
      <alignment horizontal="left" vertical="center"/>
    </xf>
    <xf numFmtId="0" fontId="271" fillId="0" borderId="0" xfId="19" applyFont="1" applyAlignment="1">
      <alignment horizontal="left" vertical="center"/>
    </xf>
    <xf numFmtId="0" fontId="265" fillId="0" borderId="176" xfId="10" applyFont="1" applyBorder="1" applyAlignment="1">
      <alignment horizontal="justify" vertical="center"/>
    </xf>
    <xf numFmtId="0" fontId="265" fillId="0" borderId="177" xfId="10" applyFont="1" applyBorder="1" applyAlignment="1">
      <alignment horizontal="justify" vertical="center"/>
    </xf>
    <xf numFmtId="0" fontId="267" fillId="0" borderId="178" xfId="10" applyFont="1" applyBorder="1" applyAlignment="1">
      <alignment horizontal="justify" vertical="center"/>
    </xf>
    <xf numFmtId="0" fontId="265" fillId="0" borderId="179" xfId="10" applyFont="1" applyBorder="1" applyAlignment="1">
      <alignment horizontal="justify" vertical="center"/>
    </xf>
    <xf numFmtId="0" fontId="267" fillId="0" borderId="179" xfId="10" applyFont="1" applyBorder="1">
      <alignment vertical="center"/>
    </xf>
    <xf numFmtId="0" fontId="267" fillId="0" borderId="183" xfId="10" applyFont="1" applyBorder="1">
      <alignment vertical="center"/>
    </xf>
    <xf numFmtId="0" fontId="271" fillId="18" borderId="0" xfId="19" applyFont="1" applyFill="1"/>
    <xf numFmtId="0" fontId="271" fillId="0" borderId="6" xfId="19" applyFont="1" applyBorder="1"/>
    <xf numFmtId="0" fontId="271" fillId="0" borderId="9" xfId="19" applyFont="1" applyBorder="1"/>
    <xf numFmtId="0" fontId="271" fillId="0" borderId="10" xfId="19" applyFont="1" applyBorder="1"/>
    <xf numFmtId="0" fontId="271" fillId="22" borderId="0" xfId="19" applyFont="1" applyFill="1"/>
    <xf numFmtId="0" fontId="271" fillId="0" borderId="23" xfId="19" applyFont="1" applyBorder="1"/>
    <xf numFmtId="0" fontId="271" fillId="0" borderId="1" xfId="19" applyFont="1" applyBorder="1"/>
    <xf numFmtId="0" fontId="271" fillId="0" borderId="24" xfId="19" applyFont="1" applyBorder="1"/>
    <xf numFmtId="0" fontId="271" fillId="0" borderId="0" xfId="19" applyFont="1" applyAlignment="1">
      <alignment horizontal="left"/>
    </xf>
    <xf numFmtId="0" fontId="273" fillId="0" borderId="0" xfId="19" applyFont="1" applyAlignment="1">
      <alignment horizontal="left" vertical="center"/>
    </xf>
    <xf numFmtId="0" fontId="273" fillId="0" borderId="1" xfId="19" applyFont="1" applyBorder="1"/>
    <xf numFmtId="0" fontId="273" fillId="0" borderId="24" xfId="19" applyFont="1" applyBorder="1"/>
    <xf numFmtId="0" fontId="274" fillId="0" borderId="0" xfId="19" applyFont="1"/>
    <xf numFmtId="0" fontId="271" fillId="13" borderId="1" xfId="19" applyFont="1" applyFill="1" applyBorder="1"/>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196" fontId="48" fillId="12" borderId="1" xfId="0" applyNumberFormat="1" applyFont="1" applyFill="1" applyBorder="1" applyAlignment="1" applyProtection="1">
      <alignment horizontal="left" vertical="center"/>
      <protection locked="0"/>
    </xf>
    <xf numFmtId="196" fontId="0" fillId="0" borderId="0" xfId="0" applyNumberFormat="1" applyAlignment="1">
      <alignment horizontal="left" vertical="center"/>
    </xf>
    <xf numFmtId="0" fontId="53" fillId="18" borderId="2" xfId="0"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0" fontId="48" fillId="6" borderId="1" xfId="0" applyFont="1" applyFill="1" applyBorder="1" applyProtection="1">
      <alignment vertical="center"/>
      <protection locked="0"/>
    </xf>
    <xf numFmtId="9" fontId="48" fillId="6" borderId="1" xfId="0" applyNumberFormat="1" applyFont="1" applyFill="1" applyBorder="1" applyProtection="1">
      <alignment vertical="center"/>
      <protection locked="0"/>
    </xf>
    <xf numFmtId="0" fontId="78" fillId="6" borderId="1" xfId="0" applyFont="1" applyFill="1" applyBorder="1" applyProtection="1">
      <alignment vertical="center"/>
      <protection locked="0"/>
    </xf>
    <xf numFmtId="9" fontId="45" fillId="0" borderId="41" xfId="17" applyFont="1" applyBorder="1" applyAlignment="1" applyProtection="1">
      <alignment horizontal="center" vertical="center" wrapText="1"/>
      <protection locked="0"/>
    </xf>
    <xf numFmtId="0" fontId="54" fillId="23" borderId="32" xfId="0" applyFont="1" applyFill="1" applyBorder="1" applyAlignment="1" applyProtection="1">
      <alignment horizontal="right" vertical="center" wrapText="1"/>
      <protection locked="0"/>
    </xf>
    <xf numFmtId="0" fontId="100" fillId="23" borderId="1" xfId="0" applyFont="1" applyFill="1" applyBorder="1" applyAlignment="1" applyProtection="1">
      <alignment horizontal="center" vertical="center" wrapText="1"/>
      <protection locked="0"/>
    </xf>
    <xf numFmtId="0" fontId="54" fillId="23" borderId="1" xfId="0" applyFont="1" applyFill="1" applyBorder="1" applyAlignment="1" applyProtection="1">
      <alignment vertical="center" wrapText="1"/>
      <protection locked="0"/>
    </xf>
    <xf numFmtId="179" fontId="48" fillId="23" borderId="23" xfId="0" applyNumberFormat="1" applyFont="1" applyFill="1" applyBorder="1" applyAlignment="1" applyProtection="1">
      <alignment horizontal="center" vertical="center"/>
      <protection locked="0"/>
    </xf>
    <xf numFmtId="181" fontId="45" fillId="23" borderId="24" xfId="0" applyNumberFormat="1" applyFont="1" applyFill="1" applyBorder="1" applyProtection="1">
      <alignment vertical="center"/>
      <protection locked="0"/>
    </xf>
    <xf numFmtId="0" fontId="247" fillId="0" borderId="18" xfId="0" applyFont="1" applyFill="1" applyBorder="1" applyAlignment="1">
      <alignment horizontal="left" vertical="center"/>
    </xf>
    <xf numFmtId="0" fontId="247" fillId="0" borderId="40" xfId="0" applyFont="1" applyFill="1" applyBorder="1" applyAlignment="1">
      <alignment horizontal="left" vertical="center"/>
    </xf>
    <xf numFmtId="0" fontId="247" fillId="0" borderId="17" xfId="0" applyFont="1" applyFill="1" applyBorder="1" applyAlignment="1">
      <alignment horizontal="left" vertical="center"/>
    </xf>
    <xf numFmtId="0" fontId="247" fillId="0" borderId="62" xfId="0" applyFont="1" applyFill="1" applyBorder="1" applyAlignment="1">
      <alignment horizontal="left" vertical="center"/>
    </xf>
    <xf numFmtId="0" fontId="247" fillId="0" borderId="0" xfId="0" applyFont="1" applyFill="1" applyAlignment="1">
      <alignment horizontal="left" vertical="center"/>
    </xf>
    <xf numFmtId="0" fontId="256" fillId="0" borderId="47" xfId="0" applyFont="1" applyFill="1" applyBorder="1">
      <alignment vertical="center"/>
    </xf>
    <xf numFmtId="0" fontId="256" fillId="0" borderId="43" xfId="0" applyFont="1" applyFill="1" applyBorder="1" applyAlignment="1">
      <alignment horizontal="right" vertical="center"/>
    </xf>
    <xf numFmtId="0" fontId="256" fillId="0" borderId="9" xfId="0" applyFont="1" applyFill="1" applyBorder="1" applyAlignment="1">
      <alignment horizontal="left" vertical="center" wrapText="1"/>
    </xf>
    <xf numFmtId="0" fontId="257" fillId="0" borderId="19" xfId="0" applyFont="1" applyFill="1" applyBorder="1" applyAlignment="1">
      <alignment horizontal="left" vertical="center"/>
    </xf>
    <xf numFmtId="0" fontId="255" fillId="0" borderId="28" xfId="0" applyFont="1" applyFill="1" applyBorder="1" applyAlignment="1">
      <alignment horizontal="left" vertical="center"/>
    </xf>
    <xf numFmtId="0" fontId="257" fillId="0" borderId="18" xfId="0" applyFont="1" applyFill="1" applyBorder="1" applyAlignment="1">
      <alignment horizontal="left" vertical="center"/>
    </xf>
    <xf numFmtId="0" fontId="256" fillId="0" borderId="1" xfId="0" applyFont="1" applyFill="1" applyBorder="1" applyAlignment="1">
      <alignment horizontal="left" vertical="center" wrapText="1"/>
    </xf>
    <xf numFmtId="0" fontId="256" fillId="0" borderId="2" xfId="0" applyFont="1" applyFill="1" applyBorder="1" applyAlignment="1">
      <alignment horizontal="left" vertical="center" wrapText="1"/>
    </xf>
    <xf numFmtId="0" fontId="257" fillId="0" borderId="0" xfId="0" applyFont="1" applyFill="1" applyAlignment="1">
      <alignment horizontal="left" vertical="center"/>
    </xf>
    <xf numFmtId="0" fontId="255" fillId="0" borderId="32" xfId="0" applyFont="1" applyFill="1" applyBorder="1" applyAlignment="1">
      <alignment horizontal="left" vertical="center"/>
    </xf>
    <xf numFmtId="0" fontId="255" fillId="0" borderId="33" xfId="0" applyFont="1" applyFill="1" applyBorder="1" applyAlignment="1">
      <alignment horizontal="left" vertical="center"/>
    </xf>
    <xf numFmtId="0" fontId="256" fillId="0" borderId="40" xfId="0" applyFont="1" applyFill="1" applyBorder="1" applyAlignment="1">
      <alignment horizontal="left" vertical="center" wrapText="1"/>
    </xf>
    <xf numFmtId="0" fontId="256" fillId="0" borderId="74" xfId="0" applyFont="1" applyFill="1" applyBorder="1" applyAlignment="1">
      <alignment horizontal="left" vertical="center" wrapText="1"/>
    </xf>
    <xf numFmtId="0" fontId="256" fillId="0" borderId="32" xfId="0" applyFont="1" applyFill="1" applyBorder="1" applyAlignment="1">
      <alignment horizontal="left" vertical="center" wrapText="1"/>
    </xf>
    <xf numFmtId="0" fontId="256" fillId="0" borderId="14" xfId="0" applyFont="1" applyFill="1" applyBorder="1" applyAlignment="1">
      <alignment horizontal="left" vertical="center" wrapText="1"/>
    </xf>
    <xf numFmtId="0" fontId="256" fillId="0" borderId="1" xfId="18" applyNumberFormat="1" applyFont="1" applyFill="1" applyBorder="1" applyAlignment="1">
      <alignment horizontal="left" vertical="center" wrapText="1"/>
    </xf>
    <xf numFmtId="0" fontId="256" fillId="0" borderId="15" xfId="0" applyFont="1" applyFill="1" applyBorder="1" applyAlignment="1">
      <alignment horizontal="left" vertical="center" wrapText="1"/>
    </xf>
    <xf numFmtId="0" fontId="256" fillId="0" borderId="13" xfId="0" applyFont="1" applyFill="1" applyBorder="1" applyAlignment="1">
      <alignment horizontal="left" vertical="center" wrapText="1"/>
    </xf>
    <xf numFmtId="0" fontId="256" fillId="0" borderId="10" xfId="0" applyFont="1" applyFill="1" applyBorder="1" applyAlignment="1">
      <alignment horizontal="left" vertical="center" wrapText="1"/>
    </xf>
    <xf numFmtId="0" fontId="256" fillId="0" borderId="24" xfId="0" applyFont="1" applyFill="1" applyBorder="1" applyAlignment="1">
      <alignment horizontal="left" vertical="center" wrapText="1"/>
    </xf>
    <xf numFmtId="0" fontId="256" fillId="0" borderId="12" xfId="0" applyFont="1" applyFill="1" applyBorder="1" applyAlignment="1">
      <alignment horizontal="left" vertical="center" wrapText="1"/>
    </xf>
    <xf numFmtId="0" fontId="256" fillId="0" borderId="49" xfId="0" applyFont="1" applyFill="1" applyBorder="1" applyAlignment="1">
      <alignment horizontal="left" vertical="center" wrapText="1"/>
    </xf>
    <xf numFmtId="0" fontId="256" fillId="0" borderId="61" xfId="0" applyFont="1" applyFill="1" applyBorder="1" applyAlignment="1">
      <alignment horizontal="left" vertical="center" wrapText="1"/>
    </xf>
    <xf numFmtId="0" fontId="256" fillId="0" borderId="6" xfId="0" applyFont="1" applyFill="1" applyBorder="1" applyAlignment="1">
      <alignment horizontal="left" vertical="center" wrapText="1"/>
    </xf>
    <xf numFmtId="0" fontId="256" fillId="0" borderId="23" xfId="0" applyFont="1" applyFill="1" applyBorder="1" applyAlignment="1">
      <alignment horizontal="left" vertical="center" wrapText="1"/>
    </xf>
    <xf numFmtId="0" fontId="256" fillId="0" borderId="25" xfId="0" applyFont="1" applyFill="1" applyBorder="1" applyAlignment="1">
      <alignment horizontal="left" vertical="center" wrapText="1"/>
    </xf>
    <xf numFmtId="0" fontId="107" fillId="6" borderId="54" xfId="0"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65" fillId="0" borderId="180" xfId="10" applyFont="1" applyBorder="1" applyAlignment="1">
      <alignment horizontal="justify" vertical="center"/>
    </xf>
    <xf numFmtId="0" fontId="265" fillId="0" borderId="181" xfId="10" applyFont="1" applyBorder="1" applyAlignment="1">
      <alignment horizontal="justify" vertical="center"/>
    </xf>
    <xf numFmtId="0" fontId="265" fillId="0" borderId="182" xfId="1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0" borderId="6" xfId="0" applyFont="1" applyFill="1" applyBorder="1" applyAlignment="1">
      <alignment horizontal="left" vertical="center" wrapText="1"/>
    </xf>
    <xf numFmtId="0" fontId="255" fillId="0" borderId="25" xfId="0" applyFont="1" applyFill="1" applyBorder="1" applyAlignment="1">
      <alignment horizontal="left" vertical="center" wrapText="1"/>
    </xf>
    <xf numFmtId="0" fontId="255" fillId="0" borderId="0" xfId="0" applyFont="1" applyFill="1" applyAlignment="1">
      <alignment horizontal="center" vertical="center"/>
    </xf>
    <xf numFmtId="0" fontId="255" fillId="0"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1" xfId="18"/>
    <cellStyle name="常规 13"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row r="24">
          <cell r="M24">
            <v>103310</v>
          </cell>
        </row>
        <row r="25">
          <cell r="M25">
            <v>16820</v>
          </cell>
        </row>
        <row r="32">
          <cell r="N32">
            <v>13411</v>
          </cell>
        </row>
        <row r="33">
          <cell r="N33">
            <v>12358</v>
          </cell>
        </row>
        <row r="34">
          <cell r="N34">
            <v>13821</v>
          </cell>
        </row>
        <row r="35">
          <cell r="N35">
            <v>13821</v>
          </cell>
        </row>
        <row r="36">
          <cell r="N36">
            <v>13821</v>
          </cell>
        </row>
        <row r="41">
          <cell r="N41">
            <v>23361</v>
          </cell>
        </row>
        <row r="42">
          <cell r="N42">
            <v>17631</v>
          </cell>
        </row>
        <row r="43">
          <cell r="N43">
            <v>20773</v>
          </cell>
        </row>
        <row r="44">
          <cell r="N44">
            <v>20773</v>
          </cell>
        </row>
        <row r="45">
          <cell r="N45">
            <v>20773</v>
          </cell>
        </row>
        <row r="48">
          <cell r="N48">
            <v>16820</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row r="14">
          <cell r="D14">
            <v>572399</v>
          </cell>
        </row>
      </sheetData>
      <sheetData sheetId="19">
        <row r="59">
          <cell r="N59">
            <v>514328</v>
          </cell>
        </row>
        <row r="118">
          <cell r="H118">
            <v>572399</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row r="7">
          <cell r="B7">
            <v>292705</v>
          </cell>
        </row>
        <row r="8">
          <cell r="B8">
            <v>9437</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row r="3">
          <cell r="T3">
            <v>30276</v>
          </cell>
        </row>
        <row r="4">
          <cell r="T4">
            <v>26160</v>
          </cell>
        </row>
        <row r="5">
          <cell r="T5">
            <v>23673</v>
          </cell>
        </row>
        <row r="6">
          <cell r="T6">
            <v>22562</v>
          </cell>
        </row>
        <row r="37">
          <cell r="C37">
            <v>17556</v>
          </cell>
        </row>
        <row r="95">
          <cell r="D95">
            <v>0</v>
          </cell>
          <cell r="F95">
            <v>0</v>
          </cell>
        </row>
      </sheetData>
      <sheetData sheetId="52">
        <row r="33">
          <cell r="C33">
            <v>24083</v>
          </cell>
        </row>
        <row r="42">
          <cell r="G42">
            <v>1279</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北京市西城区西直门外大街南路甲28号房地产抵押价值预评估</v>
      </c>
    </row>
    <row r="3" spans="1:2">
      <c r="A3" s="1116" t="s">
        <v>523</v>
      </c>
      <c r="B3" s="1117">
        <f>'预评函-封皮'!B40</f>
        <v>0</v>
      </c>
    </row>
    <row r="4" spans="1:2">
      <c r="A4" s="1116" t="s">
        <v>524</v>
      </c>
      <c r="B4" s="1117" t="str">
        <f ca="1">'预评函-封皮'!B46</f>
        <v>梁津（注册号：1119970066)、吴薇（注册号：1419970001)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受贵公司委托，我公司对北京市西城区西直门外大街南路甲28号房地产抵押价值进行了预评估。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为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2024年12月9日（评估专业人员实地查勘之日）</v>
      </c>
    </row>
    <row r="13" spans="1:2">
      <c r="A13" s="1116" t="s">
        <v>529</v>
      </c>
      <c r="B13" s="1117"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梁津</v>
      </c>
    </row>
    <row r="71" spans="1:2">
      <c r="A71" s="1116" t="s">
        <v>563</v>
      </c>
      <c r="B71" s="1117">
        <f ca="1">'预评函-4'!B4</f>
        <v>1119970066</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7" sqref="F7"/>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2289</v>
      </c>
      <c r="C17" s="1439"/>
    </row>
    <row r="18" spans="1:3">
      <c r="A18" s="1438" t="s">
        <v>1046</v>
      </c>
      <c r="B18" s="1438" t="s">
        <v>2431</v>
      </c>
      <c r="C18" s="1439"/>
    </row>
    <row r="19" spans="1:3">
      <c r="A19" s="1438" t="s">
        <v>1047</v>
      </c>
      <c r="B19" s="1438" t="s">
        <v>3545</v>
      </c>
      <c r="C19" s="1439"/>
    </row>
    <row r="20" spans="1:3">
      <c r="A20" s="1438" t="s">
        <v>1048</v>
      </c>
      <c r="B20" s="1438" t="s">
        <v>3549</v>
      </c>
      <c r="C20" s="1439"/>
    </row>
    <row r="21" spans="1:3">
      <c r="A21" s="1438" t="s">
        <v>1049</v>
      </c>
      <c r="B21" s="1438" t="s">
        <v>3550</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4" t="s">
        <v>385</v>
      </c>
      <c r="C54" s="1442" t="s">
        <v>583</v>
      </c>
    </row>
    <row r="55" spans="1:4">
      <c r="A55" s="3241"/>
      <c r="B55" s="1444" t="s">
        <v>386</v>
      </c>
      <c r="C55" s="1442" t="s">
        <v>584</v>
      </c>
    </row>
    <row r="56" spans="1:4">
      <c r="A56" s="3241"/>
      <c r="B56" s="1444" t="s">
        <v>387</v>
      </c>
      <c r="C56" s="1442" t="s">
        <v>588</v>
      </c>
    </row>
    <row r="57" spans="1:4">
      <c r="A57" s="324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099" t="s">
        <v>2591</v>
      </c>
      <c r="J1" s="2776"/>
      <c r="K1" s="2776"/>
      <c r="L1" s="2776"/>
      <c r="M1" s="2776"/>
      <c r="N1" s="2932"/>
      <c r="O1" s="2932"/>
      <c r="P1" s="2932"/>
      <c r="Q1" s="2932"/>
      <c r="R1" s="2932"/>
    </row>
    <row r="2" spans="1:18">
      <c r="A2" s="2753"/>
      <c r="B2" s="2754"/>
      <c r="C2" s="2754"/>
      <c r="D2" s="2754"/>
      <c r="E2" s="2754"/>
      <c r="F2" s="2755"/>
      <c r="I2" s="3242" t="s">
        <v>2578</v>
      </c>
      <c r="J2" s="3242"/>
      <c r="K2" s="3242"/>
      <c r="L2" s="3242"/>
      <c r="M2" s="3242"/>
      <c r="N2" s="3242"/>
      <c r="O2" s="3242"/>
      <c r="P2" s="3242"/>
      <c r="Q2" s="3242"/>
      <c r="R2" s="3242"/>
    </row>
    <row r="3" spans="1:18">
      <c r="A3" s="2756" t="s">
        <v>2499</v>
      </c>
      <c r="B3" s="2757">
        <f>项目基本情况!D3</f>
        <v>45635</v>
      </c>
      <c r="C3" s="2759"/>
      <c r="D3" s="2759"/>
      <c r="E3" s="2759"/>
      <c r="F3" s="2755"/>
      <c r="I3" s="2771"/>
      <c r="J3" s="2771" t="s">
        <v>2582</v>
      </c>
      <c r="K3" s="2771" t="s">
        <v>2583</v>
      </c>
      <c r="L3" s="2771" t="s">
        <v>2584</v>
      </c>
      <c r="M3" s="2771" t="s">
        <v>2585</v>
      </c>
      <c r="N3" s="3100" t="s">
        <v>2586</v>
      </c>
      <c r="O3" s="3100" t="s">
        <v>2587</v>
      </c>
      <c r="P3" s="3100" t="s">
        <v>2588</v>
      </c>
      <c r="Q3" s="3100" t="s">
        <v>2589</v>
      </c>
      <c r="R3" s="3100"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2.02</v>
      </c>
      <c r="D5" s="2761">
        <f>IF(ISERROR(ROUND(POWER(1+E5,A5-C5)*(POWER(1+E5,C5)-1)/(POWER(1+E5,A5)-1),3)),0,ROUND(POWER(1+E5,A5-C5)*(POWER(1+E5,C5)-1)/(POWER(1+E5,A5)-1),4))</f>
        <v>9.6199999999999994E-2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12.03</v>
      </c>
      <c r="D6" s="2761">
        <f>IF(ISERROR(ROUND(POWER(1+E6,A6-C6)*(POWER(1+E6,C6)-1)/(POWER(1+E6,A6)-1),3)),0,ROUND(POWER(1+E6,A6-C6)*(POWER(1+E6,C6)-1)/(POWER(1+E6,A6)-1),4))</f>
        <v>0.43769999999999998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32.04</v>
      </c>
      <c r="D7" s="2761">
        <f>IF(ISERROR(ROUND(POWER(1+E7,A7-C7)*(POWER(1+E7,C7)-1)/(POWER(1+E7,A7)-1),3)),0,ROUND(POWER(1+E7,A7-C7)*(POWER(1+E7,C7)-1)/(POWER(1+E7,A7)-1),4))</f>
        <v>0.76449999999999996</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M23" s="2793" t="s">
        <v>2566</v>
      </c>
    </row>
    <row r="24" spans="1:13">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M24" s="2793">
        <v>10</v>
      </c>
    </row>
    <row r="25" spans="1:13">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M25" s="2793">
        <v>8</v>
      </c>
    </row>
    <row r="26" spans="1:13">
      <c r="A26" s="2775"/>
      <c r="B26" s="2776"/>
      <c r="C26" s="2776"/>
      <c r="D26" s="2776"/>
      <c r="E26" s="2776"/>
      <c r="F26" s="2776"/>
      <c r="G26" s="2777"/>
      <c r="I26" s="2793">
        <v>30</v>
      </c>
      <c r="J26" s="2793">
        <v>90.5</v>
      </c>
      <c r="K26" s="2793">
        <f t="shared" si="2"/>
        <v>4.2000000000000028</v>
      </c>
      <c r="L26" s="2793" t="s">
        <v>2569</v>
      </c>
      <c r="M26" s="2793">
        <v>5</v>
      </c>
    </row>
    <row r="27" spans="1:13">
      <c r="A27" s="2775" t="s">
        <v>2528</v>
      </c>
      <c r="B27" s="2776"/>
      <c r="C27" s="2776"/>
      <c r="D27" s="2776"/>
      <c r="E27" s="2776"/>
      <c r="F27" s="2776"/>
      <c r="G27" s="2777"/>
      <c r="I27" s="2793">
        <v>35</v>
      </c>
      <c r="J27" s="2793">
        <v>93.8</v>
      </c>
      <c r="K27" s="2793">
        <f t="shared" si="2"/>
        <v>3.2999999999999972</v>
      </c>
      <c r="L27" s="2793" t="s">
        <v>2570</v>
      </c>
      <c r="M27" s="2793">
        <v>3</v>
      </c>
    </row>
    <row r="28" spans="1:13">
      <c r="A28" s="2775" t="s">
        <v>2529</v>
      </c>
      <c r="B28" s="2776"/>
      <c r="C28" s="2776"/>
      <c r="D28" s="2776"/>
      <c r="E28" s="2776"/>
      <c r="F28" s="2776"/>
      <c r="G28" s="2777"/>
      <c r="I28" s="2793">
        <v>40</v>
      </c>
      <c r="J28" s="2793">
        <v>96.4</v>
      </c>
      <c r="K28" s="2793">
        <f t="shared" si="2"/>
        <v>2.6000000000000085</v>
      </c>
      <c r="L28" s="2793" t="s">
        <v>2571</v>
      </c>
      <c r="M28" s="2793">
        <v>2</v>
      </c>
    </row>
    <row r="29" spans="1:13">
      <c r="A29" s="2775" t="s">
        <v>2530</v>
      </c>
      <c r="B29" s="2776"/>
      <c r="C29" s="2776"/>
      <c r="D29" s="2776"/>
      <c r="E29" s="2776"/>
      <c r="F29" s="2776"/>
      <c r="G29" s="2777"/>
      <c r="I29" s="2793">
        <v>45</v>
      </c>
      <c r="J29" s="2793">
        <v>98.4</v>
      </c>
      <c r="K29" s="2793">
        <f t="shared" si="2"/>
        <v>2</v>
      </c>
    </row>
    <row r="30" spans="1:13">
      <c r="A30" s="2775" t="s">
        <v>2531</v>
      </c>
      <c r="B30" s="2776"/>
      <c r="C30" s="2776"/>
      <c r="D30" s="2776"/>
      <c r="E30" s="2776"/>
      <c r="F30" s="2776"/>
      <c r="G30" s="2777"/>
      <c r="I30" s="2793">
        <v>50</v>
      </c>
      <c r="J30" s="2793">
        <v>100</v>
      </c>
      <c r="K30" s="2793">
        <f t="shared" si="2"/>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3">J36-J35</f>
        <v>9.2999999999999972</v>
      </c>
      <c r="L36" s="2793" t="s">
        <v>2565</v>
      </c>
      <c r="M36" s="2793" t="s">
        <v>2566</v>
      </c>
    </row>
    <row r="37" spans="1:13">
      <c r="A37" s="2775" t="s">
        <v>2538</v>
      </c>
      <c r="B37" s="2776"/>
      <c r="C37" s="2776"/>
      <c r="D37" s="2776"/>
      <c r="E37" s="2776"/>
      <c r="F37" s="2776"/>
      <c r="G37" s="2777"/>
      <c r="I37" s="2793">
        <v>20</v>
      </c>
      <c r="J37" s="2793">
        <v>83.6</v>
      </c>
      <c r="K37" s="2793">
        <f t="shared" si="3"/>
        <v>7.2999999999999972</v>
      </c>
      <c r="L37" s="2793" t="s">
        <v>2564</v>
      </c>
      <c r="M37" s="2793">
        <v>10</v>
      </c>
    </row>
    <row r="38" spans="1:13">
      <c r="A38" s="2775" t="s">
        <v>2539</v>
      </c>
      <c r="B38" s="2776"/>
      <c r="C38" s="2776"/>
      <c r="D38" s="2776"/>
      <c r="E38" s="2776"/>
      <c r="F38" s="2776"/>
      <c r="G38" s="2777"/>
      <c r="I38" s="2793">
        <v>25</v>
      </c>
      <c r="J38" s="2793">
        <v>89.3</v>
      </c>
      <c r="K38" s="2793">
        <f t="shared" si="3"/>
        <v>5.7000000000000028</v>
      </c>
      <c r="L38" s="2793" t="s">
        <v>2568</v>
      </c>
      <c r="M38" s="2793">
        <v>8</v>
      </c>
    </row>
    <row r="39" spans="1:13">
      <c r="A39" s="2775"/>
      <c r="B39" s="2776"/>
      <c r="C39" s="2776"/>
      <c r="D39" s="2776"/>
      <c r="E39" s="2776"/>
      <c r="F39" s="2776"/>
      <c r="G39" s="2777"/>
      <c r="I39" s="2793">
        <v>30</v>
      </c>
      <c r="J39" s="2793">
        <v>93.8</v>
      </c>
      <c r="K39" s="2793">
        <f t="shared" si="3"/>
        <v>4.5</v>
      </c>
      <c r="L39" s="2793" t="s">
        <v>2569</v>
      </c>
      <c r="M39" s="2793">
        <v>6</v>
      </c>
    </row>
    <row r="40" spans="1:13">
      <c r="A40" s="2778" t="s">
        <v>2540</v>
      </c>
      <c r="B40" s="2779"/>
      <c r="C40" s="2779"/>
      <c r="D40" s="2779"/>
      <c r="E40" s="2779"/>
      <c r="F40" s="2779"/>
      <c r="G40" s="2780"/>
      <c r="I40" s="2793">
        <v>35</v>
      </c>
      <c r="J40" s="2793">
        <v>97.2</v>
      </c>
      <c r="K40" s="2793">
        <f t="shared" si="3"/>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3"/>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50" t="str">
        <f>IF(B10="北京市","北京市",C10)&amp;F10&amp;IF(结果表!G1="在建","出让国有建设用地使用权及在建建筑物",IF(结果表!G1="土地","出让国有建设用地使用权",))&amp;B9&amp;"预评估"</f>
        <v>北京市西城区西直门外大街南路甲28号房地产抵押价值预评估</v>
      </c>
      <c r="C1" s="3251"/>
      <c r="D1" s="3251"/>
      <c r="E1" s="3251"/>
      <c r="F1" s="3251"/>
      <c r="G1" s="3251"/>
      <c r="H1" s="3251"/>
      <c r="I1" s="3252"/>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北京市西城区西直门外大街南路甲28号房地产抵押价值</v>
      </c>
      <c r="T1" s="1615"/>
      <c r="U1" s="1615"/>
      <c r="V1" s="1615"/>
      <c r="W1" s="1615"/>
      <c r="X1" s="1615"/>
      <c r="Y1" s="1615"/>
      <c r="Z1" s="1615"/>
      <c r="AA1" s="1615"/>
      <c r="AB1" s="1615"/>
    </row>
    <row r="2" spans="1:30">
      <c r="A2" s="2178" t="s">
        <v>2169</v>
      </c>
      <c r="B2" s="122"/>
      <c r="D2" s="2441"/>
      <c r="E2" s="2435"/>
      <c r="F2" s="2435"/>
      <c r="G2" s="2436"/>
      <c r="H2" s="2436"/>
      <c r="I2" s="2436"/>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2170</v>
      </c>
      <c r="B3" s="2181">
        <v>45635</v>
      </c>
      <c r="C3" s="2182" t="s">
        <v>2171</v>
      </c>
      <c r="D3" s="2181">
        <f>B3</f>
        <v>45635</v>
      </c>
      <c r="E3" s="2436"/>
      <c r="F3" s="2436"/>
      <c r="G3" s="2436"/>
      <c r="H3" s="2436"/>
      <c r="I3" s="2436"/>
      <c r="J3" s="2241"/>
      <c r="K3" s="2179"/>
      <c r="L3" s="2180"/>
      <c r="M3" s="2180"/>
      <c r="N3" s="2178"/>
      <c r="O3" s="1463"/>
      <c r="P3" s="2178"/>
      <c r="Q3" s="2178"/>
      <c r="R3" s="2178"/>
      <c r="S3" s="1558"/>
      <c r="T3" s="1615"/>
      <c r="U3" s="1615"/>
      <c r="V3" s="1615"/>
      <c r="W3" s="1615"/>
      <c r="X3" s="1615"/>
      <c r="Y3" s="1615"/>
      <c r="Z3" s="1615"/>
      <c r="AA3" s="1615"/>
      <c r="AB3" s="1615"/>
    </row>
    <row r="4" spans="1:30" ht="13.5" thickBot="1">
      <c r="A4" s="1024" t="s">
        <v>2172</v>
      </c>
      <c r="B4" s="2183" t="s">
        <v>3386</v>
      </c>
      <c r="C4" s="2184">
        <f ca="1">SUMIF(注册房地产估价师,B4,估价师及机构信息!B3:B24)</f>
        <v>1119970066</v>
      </c>
      <c r="D4" s="2183" t="s">
        <v>3387</v>
      </c>
      <c r="E4" s="2184">
        <f ca="1">SUMIF(注册房地产估价师,D4,估价师及机构信息!B3:B24)</f>
        <v>1419970001</v>
      </c>
      <c r="F4" s="2183"/>
      <c r="G4" s="2184">
        <f>SUMIF(注册房地产估价师,F4,估价师及机构信息!B3:B24)</f>
        <v>0</v>
      </c>
      <c r="H4" s="2183"/>
      <c r="I4" s="2184">
        <f>SUMIF(注册房地产估价师,H4,估价师及机构信息!B3:B24)</f>
        <v>0</v>
      </c>
      <c r="J4" s="2241"/>
      <c r="K4" s="2185" t="str">
        <f ca="1">CONCATENATE(B4,"（注册号：",C4,")、",D4,"（注册号：",E4,")")</f>
        <v>梁津（注册号：1119970066)、吴薇（注册号：1419970001)</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6"/>
      <c r="F5" s="2436"/>
      <c r="G5" s="2436"/>
      <c r="H5" s="2436"/>
      <c r="I5" s="2436"/>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5"/>
      <c r="F6" s="2436"/>
      <c r="G6" s="2436"/>
      <c r="H6" s="2436"/>
      <c r="I6" s="2436"/>
      <c r="J6" s="2241"/>
      <c r="K6" s="2395" t="str">
        <f>IF(COUNTIF(B6,"*上海银行*"),"上海银行","")</f>
        <v/>
      </c>
      <c r="L6" s="2393"/>
      <c r="M6" s="2393"/>
      <c r="N6" s="2241"/>
      <c r="O6" s="1667"/>
      <c r="P6" s="2241"/>
      <c r="Q6" s="2241"/>
      <c r="R6" s="2241"/>
    </row>
    <row r="7" spans="1:30">
      <c r="A7" s="2190" t="s">
        <v>2175</v>
      </c>
      <c r="B7" s="2194"/>
      <c r="C7" s="2192"/>
      <c r="D7" s="2193"/>
      <c r="E7" s="2435"/>
      <c r="F7" s="2436"/>
      <c r="G7" s="2436"/>
      <c r="H7" s="2436"/>
      <c r="I7" s="2436"/>
      <c r="J7" s="2241"/>
      <c r="K7" s="2396"/>
      <c r="L7" s="2393"/>
      <c r="M7" s="2393"/>
      <c r="N7" s="2241"/>
      <c r="O7" s="1667"/>
      <c r="P7" s="2241"/>
      <c r="Q7" s="2241"/>
      <c r="R7" s="2241"/>
    </row>
    <row r="8" spans="1:30">
      <c r="A8" s="2195" t="s">
        <v>2176</v>
      </c>
      <c r="B8" s="2196" t="s">
        <v>3388</v>
      </c>
      <c r="C8" s="2197"/>
      <c r="D8" s="3253" t="s">
        <v>2177</v>
      </c>
      <c r="E8" s="2198" t="s">
        <v>3389</v>
      </c>
      <c r="F8" s="2199"/>
      <c r="G8" s="2436"/>
      <c r="H8" s="2436"/>
      <c r="I8" s="2436"/>
      <c r="J8" s="2241"/>
      <c r="K8" s="2394"/>
      <c r="L8" s="2393"/>
      <c r="M8" s="2393"/>
      <c r="N8" s="2241"/>
      <c r="O8" s="1667"/>
      <c r="P8" s="2241"/>
      <c r="Q8" s="2241"/>
      <c r="R8" s="2241"/>
    </row>
    <row r="9" spans="1:30" ht="13.5" thickBot="1">
      <c r="A9" s="2200" t="s">
        <v>2178</v>
      </c>
      <c r="B9" s="2201" t="s">
        <v>3389</v>
      </c>
      <c r="C9" s="2202"/>
      <c r="D9" s="3254"/>
      <c r="E9" s="2201"/>
      <c r="F9" s="2203"/>
      <c r="G9" s="2437"/>
      <c r="H9" s="2437"/>
      <c r="I9" s="2437"/>
      <c r="J9" s="2241"/>
      <c r="K9" s="2396"/>
      <c r="L9" s="2393"/>
      <c r="M9" s="2393"/>
      <c r="N9" s="2241"/>
      <c r="O9" s="1667"/>
      <c r="P9" s="2241"/>
      <c r="Q9" s="2241"/>
      <c r="R9" s="2241"/>
    </row>
    <row r="10" spans="1:30" ht="13.5" thickTop="1">
      <c r="A10" s="2204" t="s">
        <v>2179</v>
      </c>
      <c r="B10" s="2205" t="s">
        <v>3391</v>
      </c>
      <c r="C10" s="2206"/>
      <c r="D10" s="2189"/>
      <c r="E10" s="2207" t="s">
        <v>2180</v>
      </c>
      <c r="F10" s="3109" t="s">
        <v>3390</v>
      </c>
      <c r="G10" s="2438"/>
      <c r="H10" s="2439"/>
      <c r="I10" s="2440"/>
      <c r="J10" s="2241"/>
      <c r="K10" s="2396"/>
      <c r="L10" s="2393"/>
      <c r="M10" s="2393"/>
      <c r="N10" s="2241"/>
      <c r="O10" s="1667"/>
      <c r="P10" s="2241"/>
      <c r="Q10" s="2241"/>
      <c r="R10" s="2241"/>
    </row>
    <row r="11" spans="1:30">
      <c r="A11" s="2208" t="s">
        <v>2181</v>
      </c>
      <c r="B11" s="2209" t="s">
        <v>3392</v>
      </c>
      <c r="C11" s="2210"/>
      <c r="D11" s="2211"/>
      <c r="E11" s="2178"/>
      <c r="F11" s="2178"/>
      <c r="G11" s="2178"/>
      <c r="H11" s="2178"/>
      <c r="I11" s="2178"/>
      <c r="J11" s="2795"/>
      <c r="K11" s="2393"/>
      <c r="L11" s="2393"/>
      <c r="M11" s="2393"/>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4" t="s">
        <v>2574</v>
      </c>
      <c r="J12" s="2796"/>
      <c r="K12" s="2393"/>
      <c r="L12" s="2393"/>
      <c r="M12" s="2241"/>
      <c r="N12" s="1667"/>
      <c r="O12" s="2241"/>
      <c r="P12" s="2241"/>
      <c r="Q12" s="2241"/>
      <c r="AD12" s="1615"/>
    </row>
    <row r="13" spans="1:30">
      <c r="A13" s="3086" t="s">
        <v>3330</v>
      </c>
      <c r="B13" s="2214" t="s">
        <v>2190</v>
      </c>
      <c r="C13" s="800"/>
      <c r="D13" s="800">
        <v>52843</v>
      </c>
      <c r="E13" s="800">
        <v>56495</v>
      </c>
      <c r="F13" s="800">
        <v>56495</v>
      </c>
      <c r="G13" s="800"/>
      <c r="H13" s="800"/>
      <c r="I13" s="800"/>
      <c r="J13" s="2796"/>
      <c r="K13" s="2393"/>
      <c r="L13" s="2393"/>
      <c r="M13" s="2241"/>
      <c r="N13" s="1667"/>
      <c r="O13" s="2241"/>
      <c r="P13" s="2241"/>
      <c r="Q13" s="2241"/>
      <c r="AD13" s="1615"/>
    </row>
    <row r="14" spans="1:30">
      <c r="A14" s="1015"/>
      <c r="B14" s="2214" t="s">
        <v>2191</v>
      </c>
      <c r="C14" s="2215"/>
      <c r="D14" s="2215">
        <v>40</v>
      </c>
      <c r="E14" s="2215">
        <v>50</v>
      </c>
      <c r="F14" s="2215">
        <v>50</v>
      </c>
      <c r="G14" s="2215"/>
      <c r="H14" s="2215"/>
      <c r="I14" s="2215"/>
      <c r="J14" s="2797"/>
      <c r="K14" s="2393"/>
      <c r="L14" s="2393"/>
      <c r="M14" s="2241"/>
      <c r="N14" s="1667"/>
      <c r="O14" s="2241"/>
      <c r="P14" s="2241"/>
      <c r="Q14" s="2241"/>
      <c r="AD14" s="1615"/>
    </row>
    <row r="15" spans="1:30">
      <c r="A15" s="312"/>
      <c r="B15" s="2216" t="s">
        <v>2192</v>
      </c>
      <c r="C15" s="2217" t="str">
        <f>IF(A13="出让",IF(C13="","",ROUNDDOWN(MIN((C13-$D$3)/365,C14),2)),C14)</f>
        <v/>
      </c>
      <c r="D15" s="2217">
        <f>IF(A13="出让",IF(D13="","",ROUNDDOWN(MIN((D13-$D$3)/365,D14),2)),D14)</f>
        <v>19.739999999999998</v>
      </c>
      <c r="E15" s="2217">
        <f>IF(A13="出让",IF(E13="","",ROUNDDOWN(MIN((E13-$D$3)/365,E14),2)),E14)</f>
        <v>29.75</v>
      </c>
      <c r="F15" s="2217">
        <f>IF(A13="出让",IF(F13="","",ROUNDDOWN(MIN((F13-$D$3)/365,F14),2)),F14)</f>
        <v>29.75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7" t="s">
        <v>2193</v>
      </c>
      <c r="B16" s="3260"/>
      <c r="C16" s="3261"/>
      <c r="D16" s="3262"/>
      <c r="E16" s="2218" t="s">
        <v>2194</v>
      </c>
      <c r="F16" s="3263"/>
      <c r="G16" s="3264"/>
      <c r="H16" s="3264"/>
      <c r="I16" s="3265"/>
      <c r="J16" s="2241"/>
      <c r="K16" s="2397"/>
      <c r="L16" s="1667"/>
      <c r="M16" s="1667"/>
      <c r="N16" s="2241"/>
      <c r="O16" s="1667"/>
      <c r="P16" s="2241"/>
      <c r="Q16" s="2241"/>
      <c r="R16" s="2241"/>
    </row>
    <row r="17" spans="1:28">
      <c r="A17" s="305" t="s">
        <v>2195</v>
      </c>
      <c r="B17" s="294" t="s">
        <v>2196</v>
      </c>
      <c r="C17" s="8">
        <f>'数据-汇总表'!E3</f>
        <v>84373.10000000002</v>
      </c>
      <c r="D17" s="1253" t="s">
        <v>2197</v>
      </c>
      <c r="E17" s="3266" t="s">
        <v>2198</v>
      </c>
      <c r="F17" s="3267"/>
      <c r="G17" s="3267"/>
      <c r="H17" s="3267"/>
      <c r="I17" s="3268"/>
      <c r="J17" s="2241"/>
      <c r="K17" s="2398"/>
      <c r="L17" s="1667"/>
      <c r="M17" s="1667"/>
      <c r="N17" s="2241"/>
      <c r="O17" s="1667"/>
      <c r="P17" s="2241"/>
      <c r="Q17" s="2241"/>
      <c r="R17" s="2241"/>
      <c r="S17" s="2241"/>
      <c r="T17" s="2241"/>
      <c r="U17" s="2241"/>
      <c r="V17" s="2241"/>
    </row>
    <row r="18" spans="1:28" ht="24.75" thickBot="1">
      <c r="A18" s="2219" t="s">
        <v>2199</v>
      </c>
      <c r="B18" s="1024" t="s">
        <v>2200</v>
      </c>
      <c r="C18" s="2220">
        <f>'数据-汇总表'!D3</f>
        <v>10591.91</v>
      </c>
      <c r="D18" s="1026" t="s">
        <v>2201</v>
      </c>
      <c r="E18" s="3269" t="s">
        <v>2202</v>
      </c>
      <c r="F18" s="3270"/>
      <c r="G18" s="3270"/>
      <c r="H18" s="3270"/>
      <c r="I18" s="3271"/>
      <c r="J18" s="2241"/>
      <c r="K18" s="2398"/>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6"/>
      <c r="I19" s="2436"/>
      <c r="J19" s="2241"/>
      <c r="K19" s="2396"/>
      <c r="L19" s="2393"/>
      <c r="M19" s="2393"/>
      <c r="N19" s="2241"/>
      <c r="O19" s="1667"/>
      <c r="P19" s="2241"/>
      <c r="Q19" s="2241"/>
      <c r="R19" s="2241"/>
      <c r="S19" s="2241"/>
      <c r="T19" s="2241"/>
      <c r="U19" s="2241"/>
      <c r="V19" s="2241"/>
    </row>
    <row r="20" spans="1:28">
      <c r="A20" s="2411" t="s">
        <v>2205</v>
      </c>
      <c r="B20" s="3256" t="s">
        <v>2206</v>
      </c>
      <c r="C20" s="3257"/>
      <c r="D20" s="3258" t="s">
        <v>2207</v>
      </c>
      <c r="E20" s="3259"/>
      <c r="F20" s="2424" t="s">
        <v>1056</v>
      </c>
      <c r="G20" s="2436"/>
      <c r="H20" s="2436"/>
      <c r="I20" s="2436"/>
      <c r="J20" s="2241"/>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1"/>
      <c r="B21" s="2412" t="s">
        <v>2209</v>
      </c>
      <c r="C21" s="2290" t="s">
        <v>1057</v>
      </c>
      <c r="D21" s="1457" t="s">
        <v>2210</v>
      </c>
      <c r="E21" s="2413" t="s">
        <v>1057</v>
      </c>
      <c r="F21" s="2425"/>
      <c r="G21" s="2436"/>
      <c r="H21" s="2436"/>
      <c r="I21" s="2436"/>
      <c r="J21" s="2241"/>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1"/>
      <c r="B22" s="2414" t="s">
        <v>2211</v>
      </c>
      <c r="C22" s="2290" t="s">
        <v>1058</v>
      </c>
      <c r="D22" s="2436"/>
      <c r="E22" s="2436"/>
      <c r="F22" s="2436"/>
      <c r="G22" s="2436"/>
      <c r="H22" s="2436"/>
      <c r="I22" s="2436"/>
      <c r="J22" s="2241"/>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5" t="s">
        <v>2212</v>
      </c>
      <c r="B23" s="2287" t="s">
        <v>2213</v>
      </c>
      <c r="C23" s="2416"/>
      <c r="D23" s="2417" t="s">
        <v>2213</v>
      </c>
      <c r="E23" s="2418"/>
      <c r="F23" s="2436"/>
      <c r="G23" s="2436"/>
      <c r="H23" s="2436"/>
      <c r="I23" s="2436"/>
      <c r="J23" s="2241"/>
      <c r="K23" s="2395"/>
      <c r="L23" s="121"/>
      <c r="M23" s="2393"/>
      <c r="N23" s="2241"/>
      <c r="O23" s="1667"/>
      <c r="P23" s="2241"/>
      <c r="Q23" s="2241"/>
      <c r="R23" s="2241"/>
      <c r="S23" s="2241"/>
      <c r="T23" s="2241"/>
      <c r="U23" s="2241"/>
      <c r="V23" s="2241"/>
    </row>
    <row r="24" spans="1:28">
      <c r="A24" s="2415"/>
      <c r="B24" s="2287" t="s">
        <v>1059</v>
      </c>
      <c r="C24" s="2265"/>
      <c r="D24" s="2415" t="s">
        <v>1059</v>
      </c>
      <c r="E24" s="2419"/>
      <c r="F24" s="2436"/>
      <c r="G24" s="2436"/>
      <c r="H24" s="2436"/>
      <c r="I24" s="2436"/>
      <c r="J24" s="2241"/>
      <c r="K24" s="2395"/>
      <c r="L24" s="121"/>
      <c r="M24" s="2393"/>
      <c r="N24" s="2241"/>
      <c r="O24" s="1667"/>
      <c r="P24" s="2241"/>
      <c r="Q24" s="2241"/>
      <c r="R24" s="2241"/>
      <c r="S24" s="2241"/>
      <c r="T24" s="2241"/>
      <c r="U24" s="2241"/>
      <c r="V24" s="2241"/>
    </row>
    <row r="25" spans="1:28">
      <c r="A25" s="2415"/>
      <c r="B25" s="2287" t="s">
        <v>1060</v>
      </c>
      <c r="C25" s="2265"/>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5"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5" thickTop="1">
      <c r="A27" s="3244" t="s">
        <v>2214</v>
      </c>
      <c r="B27" s="312" t="s">
        <v>2215</v>
      </c>
      <c r="C27" s="2221"/>
      <c r="D27" s="2222"/>
      <c r="E27" s="2436"/>
      <c r="F27" s="2436"/>
      <c r="G27" s="2436"/>
      <c r="H27" s="2436"/>
      <c r="I27" s="2436"/>
      <c r="J27" s="2241"/>
      <c r="K27" s="2397"/>
      <c r="L27" s="1667"/>
      <c r="M27" s="1667"/>
      <c r="N27" s="2241"/>
      <c r="O27" s="1667"/>
      <c r="P27" s="2241"/>
      <c r="Q27" s="2241"/>
      <c r="R27" s="2241"/>
      <c r="S27" s="2241"/>
      <c r="T27" s="2241"/>
      <c r="U27" s="2241"/>
      <c r="V27" s="2241"/>
    </row>
    <row r="28" spans="1:28">
      <c r="A28" s="3244"/>
      <c r="B28" s="294" t="s">
        <v>2216</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44"/>
      <c r="B29" s="294" t="s">
        <v>2217</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45"/>
      <c r="B30" s="294" t="s">
        <v>2218</v>
      </c>
      <c r="C30" s="3246"/>
      <c r="D30" s="3247"/>
      <c r="E30" s="2436"/>
      <c r="F30" s="2436"/>
      <c r="G30" s="2436"/>
      <c r="H30" s="2436"/>
      <c r="I30" s="2436"/>
      <c r="J30" s="2241"/>
      <c r="K30" s="2396"/>
      <c r="L30" s="2393"/>
      <c r="M30" s="2393"/>
      <c r="N30" s="2241"/>
      <c r="O30" s="1667"/>
      <c r="P30" s="2241"/>
      <c r="Q30" s="2241"/>
      <c r="R30" s="2241"/>
      <c r="S30" s="2241"/>
      <c r="T30" s="2241"/>
      <c r="U30" s="2241"/>
      <c r="V30" s="2241"/>
    </row>
    <row r="31" spans="1:28">
      <c r="A31" s="3248" t="s">
        <v>2219</v>
      </c>
      <c r="B31" s="2227"/>
      <c r="C31" s="12" t="str">
        <f>IF(B31="现房","成新及维护状况正常否",IF(B31="在建","工程状态是否正常",IF(B31="土地","是否闲置","-")))</f>
        <v>-</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49"/>
      <c r="B32" s="2227"/>
      <c r="C32" s="12"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49"/>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4" t="s">
        <v>2220</v>
      </c>
      <c r="B34" s="1867"/>
      <c r="C34" s="1867"/>
      <c r="D34" s="1867"/>
      <c r="E34" s="1867"/>
      <c r="F34" s="1867"/>
      <c r="G34" s="1867"/>
      <c r="H34" s="1867"/>
      <c r="I34" s="2436"/>
      <c r="J34" s="2241"/>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1"/>
      <c r="V34" s="2241"/>
    </row>
    <row r="35" spans="1:30">
      <c r="A35" s="2232"/>
      <c r="B35" s="3243" t="s">
        <v>2229</v>
      </c>
      <c r="C35" s="3243"/>
      <c r="D35" s="3243"/>
      <c r="E35" s="3243"/>
      <c r="F35" s="8">
        <f>C10</f>
        <v>0</v>
      </c>
      <c r="G35" s="2436"/>
      <c r="H35" s="2436"/>
      <c r="I35" s="243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1"/>
      <c r="V35" s="2241"/>
    </row>
    <row r="36" spans="1:30">
      <c r="A36" s="2179"/>
      <c r="B36" s="8" t="s">
        <v>2185</v>
      </c>
      <c r="C36" s="8" t="s">
        <v>2186</v>
      </c>
      <c r="D36" s="8" t="s">
        <v>2184</v>
      </c>
      <c r="E36" s="8" t="s">
        <v>2189</v>
      </c>
      <c r="F36" s="2794" t="s">
        <v>2577</v>
      </c>
      <c r="G36" s="2436"/>
      <c r="H36" s="2436"/>
      <c r="I36" s="2436"/>
      <c r="J36" s="2241"/>
      <c r="K36" s="2396"/>
      <c r="L36" s="2393"/>
      <c r="M36" s="2393"/>
      <c r="N36" s="2241"/>
      <c r="O36" s="1667"/>
      <c r="P36" s="2241"/>
      <c r="Q36" s="2241"/>
      <c r="R36" s="2241"/>
      <c r="S36" s="2241"/>
      <c r="T36" s="2241"/>
      <c r="U36" s="2241"/>
      <c r="V36" s="2241"/>
    </row>
    <row r="37" spans="1:30">
      <c r="A37" s="2409" t="s">
        <v>2230</v>
      </c>
      <c r="B37" s="2233" t="s">
        <v>184</v>
      </c>
      <c r="C37" s="2233" t="s">
        <v>184</v>
      </c>
      <c r="D37" s="2233"/>
      <c r="E37" s="2233"/>
      <c r="F37" s="2233"/>
      <c r="G37" s="2436"/>
      <c r="H37" s="2436"/>
      <c r="I37" s="2436"/>
      <c r="J37" s="2241"/>
      <c r="K37" s="2396"/>
      <c r="L37" s="2393"/>
      <c r="M37" s="2393"/>
      <c r="N37" s="2241"/>
      <c r="O37" s="1667"/>
      <c r="P37" s="2241"/>
      <c r="Q37" s="2241"/>
      <c r="R37" s="2241"/>
      <c r="S37" s="2241"/>
      <c r="T37" s="2241"/>
      <c r="U37" s="2241"/>
      <c r="V37" s="2241"/>
    </row>
    <row r="38" spans="1:30" ht="13.5" thickBot="1">
      <c r="A38" s="2410" t="s">
        <v>2231</v>
      </c>
      <c r="B38" s="2234" t="s">
        <v>155</v>
      </c>
      <c r="C38" s="2234" t="s">
        <v>155</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8"/>
      <c r="B40" s="2178"/>
      <c r="C40" s="2178"/>
      <c r="D40" s="2178"/>
      <c r="E40" s="2178"/>
      <c r="F40" s="2178"/>
      <c r="G40" s="2178"/>
      <c r="H40" s="2178"/>
      <c r="I40" s="1463"/>
      <c r="J40" s="2241"/>
      <c r="K40" s="2395"/>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6"/>
      <c r="L41" s="2393"/>
      <c r="M41" s="2393"/>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07"/>
  <sheetViews>
    <sheetView zoomScaleNormal="100" workbookViewId="0">
      <selection activeCell="R26" sqref="R26"/>
    </sheetView>
  </sheetViews>
  <sheetFormatPr defaultColWidth="9" defaultRowHeight="16.5"/>
  <cols>
    <col min="1" max="2" width="9" style="3110"/>
    <col min="3" max="3" width="11.25" style="3110" customWidth="1"/>
    <col min="4" max="4" width="11.125" style="3110" customWidth="1"/>
    <col min="5" max="5" width="9" style="3110"/>
    <col min="6" max="6" width="4.5" style="3110" bestFit="1" customWidth="1"/>
    <col min="7" max="7" width="19.375" style="3110" bestFit="1" customWidth="1"/>
    <col min="8" max="8" width="23.375" style="3110" customWidth="1"/>
    <col min="9" max="14" width="9" style="3110"/>
    <col min="15" max="15" width="10.75" style="3110" customWidth="1"/>
    <col min="16" max="29" width="9" style="3110"/>
    <col min="30" max="31" width="19.75" style="3110" customWidth="1"/>
    <col min="32" max="32" width="18.125" style="3110" customWidth="1"/>
    <col min="33" max="33" width="18.375" style="3110" customWidth="1"/>
    <col min="34" max="35" width="12.75" style="3110" customWidth="1"/>
    <col min="36" max="36" width="14.25" style="3110" customWidth="1"/>
    <col min="37" max="16384" width="9" style="3110"/>
  </cols>
  <sheetData>
    <row r="1" spans="2:15">
      <c r="B1" s="3110" t="s">
        <v>3393</v>
      </c>
      <c r="D1" s="3110" t="s">
        <v>3497</v>
      </c>
      <c r="E1" s="3110">
        <v>10591.91</v>
      </c>
      <c r="F1" s="3111"/>
      <c r="G1" s="3111"/>
      <c r="H1" s="3111"/>
    </row>
    <row r="2" spans="2:15">
      <c r="F2" s="3111"/>
      <c r="G2" s="3111"/>
      <c r="H2" s="3111"/>
    </row>
    <row r="3" spans="2:15" ht="15" customHeight="1">
      <c r="B3" s="3111" t="s">
        <v>3394</v>
      </c>
      <c r="C3" s="3111"/>
      <c r="D3" s="3111"/>
      <c r="E3" s="3111"/>
      <c r="F3" s="3111"/>
      <c r="G3" s="3111"/>
      <c r="H3" s="3111"/>
      <c r="I3" s="3111"/>
      <c r="J3" s="3111"/>
      <c r="K3" s="3111"/>
      <c r="L3" s="3111"/>
      <c r="M3" s="3111"/>
      <c r="N3" s="3111"/>
    </row>
    <row r="4" spans="2:15">
      <c r="B4" s="3112" t="s">
        <v>3395</v>
      </c>
      <c r="C4" s="3112">
        <v>1818.27</v>
      </c>
      <c r="D4" s="3112" t="s">
        <v>3396</v>
      </c>
      <c r="E4" s="3111"/>
      <c r="F4" s="3111"/>
      <c r="G4" s="3111"/>
      <c r="H4" s="3111"/>
      <c r="I4" s="3111"/>
      <c r="J4" s="3111"/>
      <c r="K4" s="3111"/>
      <c r="L4" s="3111"/>
      <c r="M4" s="3111"/>
      <c r="N4" s="3111"/>
    </row>
    <row r="5" spans="2:15">
      <c r="B5" s="3112" t="s">
        <v>3397</v>
      </c>
      <c r="C5" s="3112">
        <v>1675.48</v>
      </c>
      <c r="D5" s="3112" t="s">
        <v>3396</v>
      </c>
      <c r="E5" s="3111"/>
      <c r="F5" s="3111"/>
      <c r="G5" s="3111"/>
      <c r="H5" s="3111"/>
      <c r="I5" s="3111"/>
      <c r="J5" s="3111"/>
      <c r="K5" s="3111"/>
      <c r="L5" s="3111"/>
      <c r="M5" s="3111"/>
      <c r="N5" s="3111"/>
    </row>
    <row r="6" spans="2:15">
      <c r="B6" s="3112" t="s">
        <v>3398</v>
      </c>
      <c r="C6" s="3112">
        <v>1873.83</v>
      </c>
      <c r="D6" s="3112" t="s">
        <v>3396</v>
      </c>
      <c r="E6" s="3111"/>
      <c r="F6" s="3111"/>
      <c r="G6" s="3111"/>
      <c r="H6" s="3111"/>
      <c r="I6" s="3111"/>
      <c r="J6" s="3111"/>
      <c r="K6" s="3111"/>
      <c r="L6" s="3111"/>
      <c r="M6" s="3111"/>
      <c r="N6" s="3111"/>
    </row>
    <row r="7" spans="2:15">
      <c r="B7" s="3112" t="s">
        <v>3399</v>
      </c>
      <c r="C7" s="3112">
        <v>1873.83</v>
      </c>
      <c r="D7" s="3112" t="s">
        <v>3396</v>
      </c>
      <c r="E7" s="3111"/>
      <c r="F7" s="3111"/>
      <c r="G7" s="3111"/>
      <c r="H7" s="3111"/>
      <c r="I7" s="3111"/>
      <c r="J7" s="3111"/>
      <c r="K7" s="3111"/>
      <c r="L7" s="3111"/>
      <c r="M7" s="3111"/>
      <c r="N7" s="3111"/>
    </row>
    <row r="8" spans="2:15">
      <c r="B8" s="3112" t="s">
        <v>3400</v>
      </c>
      <c r="C8" s="3112">
        <v>1873.83</v>
      </c>
      <c r="D8" s="3112" t="s">
        <v>3396</v>
      </c>
      <c r="E8" s="3111"/>
      <c r="F8" s="3111"/>
      <c r="G8" s="3111"/>
      <c r="H8" s="3111"/>
      <c r="I8" s="3111"/>
      <c r="J8" s="3111"/>
      <c r="K8" s="3111"/>
      <c r="L8" s="3111"/>
      <c r="M8" s="3111"/>
      <c r="N8" s="3111"/>
    </row>
    <row r="9" spans="2:15">
      <c r="B9" s="3112" t="s">
        <v>2590</v>
      </c>
      <c r="C9" s="3112">
        <f>SUM(C4:C8)</f>
        <v>9115.24</v>
      </c>
      <c r="D9" s="3112"/>
      <c r="E9" s="3111"/>
      <c r="F9" s="3111"/>
      <c r="G9" s="3111"/>
      <c r="H9" s="3111"/>
      <c r="I9" s="3111"/>
      <c r="J9" s="3111"/>
      <c r="K9" s="3111"/>
      <c r="L9" s="3111"/>
      <c r="M9" s="3111"/>
      <c r="N9" s="3111"/>
    </row>
    <row r="10" spans="2:15" ht="17.25" thickBot="1">
      <c r="B10" s="3113"/>
      <c r="C10" s="3113"/>
      <c r="D10" s="3113"/>
      <c r="E10" s="3111"/>
      <c r="F10" s="3111"/>
      <c r="G10" s="3111"/>
      <c r="H10" s="3111"/>
      <c r="I10" s="3111"/>
      <c r="J10" s="3111">
        <f>[1]结果表!H118</f>
        <v>572399</v>
      </c>
      <c r="K10" s="3111">
        <f>[1]结果表!N59</f>
        <v>514328</v>
      </c>
      <c r="L10" s="3111"/>
      <c r="M10" s="3111"/>
      <c r="N10" s="3111"/>
    </row>
    <row r="11" spans="2:15" ht="17.25" thickTop="1">
      <c r="B11" s="3113" t="s">
        <v>3401</v>
      </c>
      <c r="C11" s="3113"/>
      <c r="D11" s="3113"/>
      <c r="E11" s="3111"/>
      <c r="F11" s="3114" t="s">
        <v>3402</v>
      </c>
      <c r="G11" s="3115" t="s">
        <v>3403</v>
      </c>
      <c r="H11" s="3115" t="s">
        <v>3404</v>
      </c>
      <c r="I11" s="3115" t="s">
        <v>3405</v>
      </c>
      <c r="J11" s="3115" t="s">
        <v>3406</v>
      </c>
      <c r="K11" s="3115" t="s">
        <v>3407</v>
      </c>
      <c r="L11" s="3115" t="s">
        <v>3396</v>
      </c>
      <c r="M11" s="3115" t="s">
        <v>2810</v>
      </c>
      <c r="N11" s="3115" t="s">
        <v>3408</v>
      </c>
      <c r="O11" s="3115" t="s">
        <v>3409</v>
      </c>
    </row>
    <row r="12" spans="2:15" ht="25.5">
      <c r="B12" s="3112" t="s">
        <v>3395</v>
      </c>
      <c r="C12" s="3112">
        <v>3343.12</v>
      </c>
      <c r="D12" s="3112" t="s">
        <v>3396</v>
      </c>
      <c r="E12" s="3111"/>
      <c r="F12" s="3116">
        <v>1</v>
      </c>
      <c r="G12" s="3117" t="s">
        <v>3410</v>
      </c>
      <c r="H12" s="3117" t="s">
        <v>3411</v>
      </c>
      <c r="I12" s="3118">
        <f>C9</f>
        <v>9115.24</v>
      </c>
      <c r="J12" s="3118">
        <f>Y41</f>
        <v>92971</v>
      </c>
      <c r="K12" s="3118">
        <f>AA41</f>
        <v>83539</v>
      </c>
      <c r="L12" s="3118">
        <f>[1]取值过程!M23</f>
        <v>67233</v>
      </c>
      <c r="M12" s="3118"/>
      <c r="N12" s="3118"/>
      <c r="O12" s="3118">
        <f>SUM(L12:N12)</f>
        <v>67233</v>
      </c>
    </row>
    <row r="13" spans="2:15" ht="25.5">
      <c r="B13" s="3112" t="s">
        <v>3412</v>
      </c>
      <c r="C13" s="3112">
        <v>3244.08</v>
      </c>
      <c r="D13" s="3112" t="s">
        <v>3396</v>
      </c>
      <c r="E13" s="3111"/>
      <c r="F13" s="3116">
        <v>2</v>
      </c>
      <c r="G13" s="3117" t="s">
        <v>3413</v>
      </c>
      <c r="H13" s="3117" t="s">
        <v>3414</v>
      </c>
      <c r="I13" s="3118">
        <f>C31</f>
        <v>53779.260000000024</v>
      </c>
      <c r="J13" s="3118">
        <f>Y49</f>
        <v>439304</v>
      </c>
      <c r="K13" s="3118">
        <f>AA49</f>
        <v>394738</v>
      </c>
      <c r="L13" s="3118">
        <f>[1]取值过程!M24</f>
        <v>103310</v>
      </c>
      <c r="M13" s="3118">
        <f>'[1]收益法（汇总）'!B7</f>
        <v>292705</v>
      </c>
      <c r="N13" s="3118"/>
      <c r="O13" s="3118">
        <f t="shared" ref="O13:O16" si="0">SUM(L13:N13)</f>
        <v>396015</v>
      </c>
    </row>
    <row r="14" spans="2:15" ht="25.5">
      <c r="B14" s="3112" t="s">
        <v>3415</v>
      </c>
      <c r="C14" s="3112">
        <v>3963.74</v>
      </c>
      <c r="D14" s="3112" t="s">
        <v>3396</v>
      </c>
      <c r="E14" s="3111"/>
      <c r="F14" s="3116">
        <v>3</v>
      </c>
      <c r="G14" s="3117" t="s">
        <v>3416</v>
      </c>
      <c r="H14" s="3117" t="s">
        <v>3417</v>
      </c>
      <c r="I14" s="3118">
        <f>C33</f>
        <v>6877.51</v>
      </c>
      <c r="J14" s="3118">
        <f>Y51</f>
        <v>27102</v>
      </c>
      <c r="K14" s="3118">
        <f>AA51</f>
        <v>24352</v>
      </c>
      <c r="L14" s="3118">
        <f>[1]取值过程!M25</f>
        <v>16820</v>
      </c>
      <c r="M14" s="3118"/>
      <c r="N14" s="3118"/>
      <c r="O14" s="3118">
        <f t="shared" si="0"/>
        <v>16820</v>
      </c>
    </row>
    <row r="15" spans="2:15" ht="25.5">
      <c r="B15" s="3112" t="s">
        <v>3418</v>
      </c>
      <c r="C15" s="3112">
        <v>3963.74</v>
      </c>
      <c r="D15" s="3112" t="s">
        <v>3396</v>
      </c>
      <c r="E15" s="3111"/>
      <c r="F15" s="3116">
        <v>4</v>
      </c>
      <c r="G15" s="3117" t="s">
        <v>3419</v>
      </c>
      <c r="H15" s="3117" t="s">
        <v>3420</v>
      </c>
      <c r="I15" s="3118">
        <f>C34</f>
        <v>7475.14</v>
      </c>
      <c r="J15" s="3118">
        <f>Y52</f>
        <v>6667</v>
      </c>
      <c r="K15" s="3118">
        <f>AA52</f>
        <v>5991</v>
      </c>
      <c r="L15" s="3118"/>
      <c r="M15" s="3118"/>
      <c r="N15" s="3118">
        <f>ROUND(I15/(I15+I16)*'[1]收益法（汇总）'!B8,0)</f>
        <v>4831</v>
      </c>
      <c r="O15" s="3118">
        <f t="shared" si="0"/>
        <v>4831</v>
      </c>
    </row>
    <row r="16" spans="2:15" ht="25.5">
      <c r="B16" s="3112" t="s">
        <v>3421</v>
      </c>
      <c r="C16" s="3112">
        <v>3963.74</v>
      </c>
      <c r="D16" s="3112" t="s">
        <v>3396</v>
      </c>
      <c r="E16" s="3111"/>
      <c r="F16" s="3116">
        <v>5</v>
      </c>
      <c r="G16" s="3117" t="s">
        <v>3422</v>
      </c>
      <c r="H16" s="3117" t="s">
        <v>3423</v>
      </c>
      <c r="I16" s="3118">
        <f>C35</f>
        <v>7125.95</v>
      </c>
      <c r="J16" s="3118">
        <f>J10-J12-J13-J14-J15</f>
        <v>6355</v>
      </c>
      <c r="K16" s="3118">
        <f>AA53</f>
        <v>5708</v>
      </c>
      <c r="L16" s="3118"/>
      <c r="M16" s="3118"/>
      <c r="N16" s="3118">
        <f>'[1]收益法（汇总）'!B8-面积表!N15</f>
        <v>4606</v>
      </c>
      <c r="O16" s="3118">
        <f t="shared" si="0"/>
        <v>4606</v>
      </c>
    </row>
    <row r="17" spans="2:15">
      <c r="B17" s="3112" t="s">
        <v>3424</v>
      </c>
      <c r="C17" s="3112">
        <v>2413.5100000000002</v>
      </c>
      <c r="D17" s="3112" t="s">
        <v>2810</v>
      </c>
      <c r="E17" s="3111"/>
      <c r="F17" s="3116"/>
      <c r="G17" s="3117"/>
      <c r="H17" s="3117"/>
      <c r="I17" s="3118"/>
      <c r="J17" s="3118"/>
      <c r="K17" s="3118"/>
      <c r="L17" s="3118"/>
      <c r="M17" s="3118"/>
      <c r="N17" s="3118"/>
      <c r="O17" s="3118"/>
    </row>
    <row r="18" spans="2:15" ht="17.25" thickBot="1">
      <c r="B18" s="3112" t="s">
        <v>3425</v>
      </c>
      <c r="C18" s="3112">
        <v>2413.5100000000002</v>
      </c>
      <c r="D18" s="3112" t="s">
        <v>2810</v>
      </c>
      <c r="E18" s="3111"/>
      <c r="F18" s="3272" t="s">
        <v>3426</v>
      </c>
      <c r="G18" s="3273"/>
      <c r="H18" s="3274"/>
      <c r="I18" s="3119">
        <f>SUM(I12:I17)</f>
        <v>84373.10000000002</v>
      </c>
      <c r="J18" s="3119">
        <f>SUM(J12:J17)</f>
        <v>572399</v>
      </c>
      <c r="K18" s="3119">
        <f>SUM(K12:K17)</f>
        <v>514328</v>
      </c>
      <c r="L18" s="3119"/>
      <c r="M18" s="3119"/>
      <c r="N18" s="3119"/>
      <c r="O18" s="3119">
        <f>SUM(O12:O16)</f>
        <v>489505</v>
      </c>
    </row>
    <row r="19" spans="2:15" ht="17.25" thickTop="1">
      <c r="B19" s="3112" t="s">
        <v>3427</v>
      </c>
      <c r="C19" s="3112">
        <v>2413.5100000000002</v>
      </c>
      <c r="D19" s="3112" t="s">
        <v>2810</v>
      </c>
      <c r="E19" s="3111"/>
      <c r="F19" s="3111"/>
      <c r="G19" s="3111"/>
      <c r="H19" s="3111"/>
      <c r="I19" s="3111"/>
      <c r="J19" s="3111"/>
      <c r="K19" s="3111"/>
      <c r="L19" s="3111"/>
      <c r="M19" s="3111"/>
      <c r="N19" s="3111"/>
      <c r="O19" s="3110">
        <f>O18-'[1]收益法（汇总）'!B2</f>
        <v>0</v>
      </c>
    </row>
    <row r="20" spans="2:15">
      <c r="B20" s="3112" t="s">
        <v>3428</v>
      </c>
      <c r="C20" s="3112">
        <v>2413.5100000000002</v>
      </c>
      <c r="D20" s="3112" t="s">
        <v>2810</v>
      </c>
      <c r="E20" s="3111"/>
      <c r="F20" s="3111"/>
    </row>
    <row r="21" spans="2:15">
      <c r="B21" s="3112" t="s">
        <v>3429</v>
      </c>
      <c r="C21" s="3112">
        <v>2413.5100000000002</v>
      </c>
      <c r="D21" s="3112" t="s">
        <v>2810</v>
      </c>
      <c r="E21" s="3111"/>
      <c r="F21" s="3111"/>
    </row>
    <row r="22" spans="2:15">
      <c r="B22" s="3112" t="s">
        <v>3430</v>
      </c>
      <c r="C22" s="3112">
        <v>2413.5100000000002</v>
      </c>
      <c r="D22" s="3112" t="s">
        <v>2810</v>
      </c>
      <c r="E22" s="3111"/>
      <c r="F22" s="3111"/>
    </row>
    <row r="23" spans="2:15">
      <c r="B23" s="3112" t="s">
        <v>3431</v>
      </c>
      <c r="C23" s="3112">
        <v>2413.5100000000002</v>
      </c>
      <c r="D23" s="3112" t="s">
        <v>2810</v>
      </c>
      <c r="E23" s="3111"/>
      <c r="F23" s="3111"/>
      <c r="H23" s="3110" t="s">
        <v>3432</v>
      </c>
      <c r="I23" s="3110" t="s">
        <v>3433</v>
      </c>
    </row>
    <row r="24" spans="2:15">
      <c r="B24" s="3112" t="s">
        <v>3434</v>
      </c>
      <c r="C24" s="3112">
        <v>2413.5100000000002</v>
      </c>
      <c r="D24" s="3112" t="s">
        <v>2810</v>
      </c>
      <c r="E24" s="3111"/>
      <c r="F24" s="3111"/>
      <c r="G24" s="3110" t="s">
        <v>2810</v>
      </c>
      <c r="H24" s="3110">
        <f>[1]基准地价修正办!C33</f>
        <v>24083</v>
      </c>
    </row>
    <row r="25" spans="2:15">
      <c r="B25" s="3112" t="s">
        <v>3435</v>
      </c>
      <c r="C25" s="3112">
        <v>2413.5100000000002</v>
      </c>
      <c r="D25" s="3112" t="s">
        <v>2810</v>
      </c>
      <c r="E25" s="3111"/>
      <c r="F25" s="3111"/>
      <c r="G25" s="3110" t="s">
        <v>3396</v>
      </c>
      <c r="H25" s="3110">
        <v>30520</v>
      </c>
    </row>
    <row r="26" spans="2:15">
      <c r="B26" s="3112" t="s">
        <v>3436</v>
      </c>
      <c r="C26" s="3112">
        <v>2413.5100000000002</v>
      </c>
      <c r="D26" s="3112" t="s">
        <v>2810</v>
      </c>
      <c r="E26" s="3111"/>
      <c r="F26" s="3111"/>
      <c r="G26" s="3110">
        <v>1</v>
      </c>
      <c r="H26" s="3110">
        <f>[1]基准地价修正!T2</f>
        <v>38136</v>
      </c>
      <c r="I26" s="3110">
        <v>1.5206</v>
      </c>
    </row>
    <row r="27" spans="2:15">
      <c r="B27" s="3112" t="s">
        <v>3437</v>
      </c>
      <c r="C27" s="3112">
        <v>2413.5100000000002</v>
      </c>
      <c r="D27" s="3112" t="s">
        <v>2810</v>
      </c>
      <c r="E27" s="3111"/>
      <c r="F27" s="3111"/>
      <c r="G27" s="3110">
        <v>2</v>
      </c>
      <c r="H27" s="3110">
        <f>[1]基准地价修正!T3</f>
        <v>30276</v>
      </c>
      <c r="I27" s="3110">
        <v>1.2072000000000001</v>
      </c>
    </row>
    <row r="28" spans="2:15">
      <c r="B28" s="3112" t="s">
        <v>3438</v>
      </c>
      <c r="C28" s="3112">
        <v>2413.5100000000002</v>
      </c>
      <c r="D28" s="3112" t="s">
        <v>2810</v>
      </c>
      <c r="E28" s="3111"/>
      <c r="F28" s="3111"/>
      <c r="G28" s="3110">
        <v>3</v>
      </c>
      <c r="H28" s="3110">
        <f>[1]基准地价修正!T4</f>
        <v>26160</v>
      </c>
      <c r="I28" s="3110">
        <v>1.0430999999999999</v>
      </c>
    </row>
    <row r="29" spans="2:15">
      <c r="B29" s="3112" t="s">
        <v>3439</v>
      </c>
      <c r="C29" s="3112">
        <v>2413.5100000000002</v>
      </c>
      <c r="D29" s="3112" t="s">
        <v>2810</v>
      </c>
      <c r="E29" s="3111"/>
      <c r="F29" s="3111"/>
      <c r="G29" s="3110">
        <v>4</v>
      </c>
      <c r="H29" s="3110">
        <f>[1]基准地价修正!T5</f>
        <v>23673</v>
      </c>
      <c r="I29" s="3110">
        <v>0.94389999999999996</v>
      </c>
    </row>
    <row r="30" spans="2:15">
      <c r="B30" s="3112" t="s">
        <v>3440</v>
      </c>
      <c r="C30" s="3112">
        <v>3925.21</v>
      </c>
      <c r="D30" s="3112" t="s">
        <v>2810</v>
      </c>
      <c r="E30" s="3111"/>
      <c r="F30" s="3111"/>
      <c r="G30" s="3110">
        <v>5</v>
      </c>
      <c r="H30" s="3110">
        <f>[1]基准地价修正!T6</f>
        <v>22562</v>
      </c>
      <c r="I30" s="3110">
        <v>0.89959999999999996</v>
      </c>
    </row>
    <row r="31" spans="2:15">
      <c r="B31" s="3112" t="s">
        <v>2590</v>
      </c>
      <c r="C31" s="3112">
        <f>SUM(C12:C30)</f>
        <v>53779.260000000024</v>
      </c>
      <c r="D31" s="3112"/>
      <c r="E31" s="3111"/>
      <c r="F31" s="3111"/>
      <c r="G31" s="3110" t="s">
        <v>3441</v>
      </c>
      <c r="H31" s="3110">
        <f>[1]基准地价修正!C37</f>
        <v>17556</v>
      </c>
      <c r="I31" s="3110">
        <v>0.7</v>
      </c>
      <c r="J31" s="3120">
        <v>1</v>
      </c>
    </row>
    <row r="32" spans="2:15">
      <c r="B32" s="3113"/>
      <c r="C32" s="3113"/>
      <c r="D32" s="3113"/>
      <c r="E32" s="3111"/>
      <c r="F32" s="3111"/>
      <c r="G32" s="3110" t="s">
        <v>3442</v>
      </c>
      <c r="H32" s="3110">
        <f>[1]基准地价修正办!G42</f>
        <v>1279</v>
      </c>
      <c r="I32" s="3110">
        <v>0.2</v>
      </c>
      <c r="J32" s="3120">
        <v>1</v>
      </c>
    </row>
    <row r="33" spans="2:28" ht="17.25" thickBot="1">
      <c r="B33" s="3112" t="s">
        <v>3441</v>
      </c>
      <c r="C33" s="3112">
        <v>6877.51</v>
      </c>
      <c r="D33" s="3112" t="s">
        <v>3396</v>
      </c>
      <c r="E33" s="3111"/>
      <c r="F33" s="3111"/>
    </row>
    <row r="34" spans="2:28">
      <c r="B34" s="3112" t="s">
        <v>3443</v>
      </c>
      <c r="C34" s="3112">
        <v>7475.14</v>
      </c>
      <c r="D34" s="3112" t="s">
        <v>3442</v>
      </c>
      <c r="E34" s="3111"/>
      <c r="F34" s="3111"/>
      <c r="O34" s="3110">
        <f>[1]系统读取表!D14</f>
        <v>572399</v>
      </c>
      <c r="U34" s="3121" t="s">
        <v>3444</v>
      </c>
      <c r="V34" s="3122"/>
      <c r="W34" s="3122"/>
      <c r="X34" s="3122" t="s">
        <v>3445</v>
      </c>
      <c r="Y34" s="3122"/>
      <c r="Z34" s="3122"/>
      <c r="AA34" s="3123"/>
    </row>
    <row r="35" spans="2:28">
      <c r="B35" s="3112" t="s">
        <v>3446</v>
      </c>
      <c r="C35" s="3112">
        <v>7125.95</v>
      </c>
      <c r="D35" s="3112" t="s">
        <v>3442</v>
      </c>
      <c r="E35" s="3111"/>
      <c r="F35" s="3111"/>
      <c r="G35" s="3111" t="s">
        <v>3394</v>
      </c>
      <c r="H35" s="3111"/>
      <c r="I35" s="3111"/>
      <c r="J35" s="3124" t="s">
        <v>3447</v>
      </c>
      <c r="K35" s="3124"/>
      <c r="L35" s="3124" t="s">
        <v>3448</v>
      </c>
      <c r="M35" s="3124"/>
      <c r="N35" s="3124" t="s">
        <v>3449</v>
      </c>
      <c r="O35" s="3124" t="s">
        <v>3450</v>
      </c>
      <c r="P35" s="3124"/>
      <c r="Q35" s="3124"/>
      <c r="R35" s="3124" t="s">
        <v>3451</v>
      </c>
      <c r="S35" s="3124"/>
      <c r="U35" s="3125"/>
      <c r="V35" s="3126"/>
      <c r="W35" s="3126" t="s">
        <v>3452</v>
      </c>
      <c r="X35" s="3126" t="s">
        <v>3453</v>
      </c>
      <c r="Y35" s="3126" t="s">
        <v>3454</v>
      </c>
      <c r="Z35" s="3126" t="s">
        <v>3455</v>
      </c>
      <c r="AA35" s="3127" t="s">
        <v>3407</v>
      </c>
    </row>
    <row r="36" spans="2:28">
      <c r="B36" s="3113" t="s">
        <v>2590</v>
      </c>
      <c r="C36" s="3113">
        <f>SUM(C33:C35)</f>
        <v>21478.600000000002</v>
      </c>
      <c r="D36" s="3113"/>
      <c r="E36" s="3111"/>
      <c r="F36" s="3111"/>
      <c r="G36" s="3112" t="s">
        <v>3395</v>
      </c>
      <c r="H36" s="3112">
        <v>1818.27</v>
      </c>
      <c r="I36" s="3112" t="s">
        <v>3396</v>
      </c>
      <c r="J36" s="3124">
        <f>ROUND(H36*K36/10000,0)</f>
        <v>6934</v>
      </c>
      <c r="K36" s="3124">
        <f>H26</f>
        <v>38136</v>
      </c>
      <c r="L36" s="3124">
        <f>ROUND(M36*H36/10000,0)</f>
        <v>1520</v>
      </c>
      <c r="M36" s="3124">
        <f>[1]收益法!I35</f>
        <v>8359.1592626534002</v>
      </c>
      <c r="N36" s="3124">
        <f>J36+L36</f>
        <v>8454</v>
      </c>
      <c r="O36" s="3124">
        <f>ROUND($O$34*N36/$N$55,0)</f>
        <v>19729</v>
      </c>
      <c r="P36" s="3124">
        <f>O36*10000/H36</f>
        <v>108504.2375444791</v>
      </c>
      <c r="Q36" s="3124"/>
      <c r="R36" s="3124">
        <f>$O$34*J36/$J$55</f>
        <v>22577.517369663528</v>
      </c>
      <c r="S36" s="3124">
        <f>R36*10000/H36</f>
        <v>124170.32327247069</v>
      </c>
      <c r="U36" s="3125">
        <f>[1]取值过程!N32</f>
        <v>13411</v>
      </c>
      <c r="V36" s="3126"/>
      <c r="W36" s="3126">
        <f>ROUND($W$57*U36/$U$56,0)</f>
        <v>17025</v>
      </c>
      <c r="X36" s="3126">
        <f>L36</f>
        <v>1520</v>
      </c>
      <c r="Y36" s="3126">
        <f>X36+W36</f>
        <v>18545</v>
      </c>
      <c r="Z36" s="3126">
        <f t="shared" ref="Z36:Z41" si="1">ROUND(Y36*10000/H36,0)</f>
        <v>101993</v>
      </c>
      <c r="AA36" s="3127">
        <f>ROUND($AA$57*Y36/$Y$54,0)</f>
        <v>16664</v>
      </c>
    </row>
    <row r="37" spans="2:28">
      <c r="B37" s="3113"/>
      <c r="C37" s="3128"/>
      <c r="D37" s="3113"/>
      <c r="E37" s="3111"/>
      <c r="F37" s="3111"/>
      <c r="G37" s="3112" t="s">
        <v>3397</v>
      </c>
      <c r="H37" s="3112">
        <v>1675.48</v>
      </c>
      <c r="I37" s="3112" t="s">
        <v>3396</v>
      </c>
      <c r="J37" s="3124">
        <f>ROUND(H37*K37/10000,0)</f>
        <v>5073</v>
      </c>
      <c r="K37" s="3124">
        <f t="shared" ref="K37:K40" si="2">H27</f>
        <v>30276</v>
      </c>
      <c r="L37" s="3124">
        <f>ROUND(M37*H37/10000,0)</f>
        <v>1401</v>
      </c>
      <c r="M37" s="3124">
        <f>M36</f>
        <v>8359.1592626534002</v>
      </c>
      <c r="N37" s="3124">
        <f t="shared" ref="N37:N40" si="3">J37+L37</f>
        <v>6474</v>
      </c>
      <c r="O37" s="3124">
        <f>ROUND($O$34*N37/$N$55,0)</f>
        <v>15109</v>
      </c>
      <c r="P37" s="3124">
        <f t="shared" ref="P37:P40" si="4">O37*10000/H37</f>
        <v>90177.143266407234</v>
      </c>
      <c r="Q37" s="3124"/>
      <c r="R37" s="3124">
        <f>$O$34*J37/$J$55</f>
        <v>16517.990426348872</v>
      </c>
      <c r="S37" s="3124">
        <f t="shared" ref="S37:S40" si="5">R37*10000/H37</f>
        <v>98586.616529883206</v>
      </c>
      <c r="U37" s="3125">
        <f>[1]取值过程!N33</f>
        <v>12358</v>
      </c>
      <c r="V37" s="3126"/>
      <c r="W37" s="3126">
        <f>ROUND($W$57*U37/$U$56,0)</f>
        <v>15689</v>
      </c>
      <c r="X37" s="3126">
        <f t="shared" ref="X37:X40" si="6">L37</f>
        <v>1401</v>
      </c>
      <c r="Y37" s="3126">
        <f t="shared" ref="Y37:Y40" si="7">X37+W37</f>
        <v>17090</v>
      </c>
      <c r="Z37" s="3126">
        <f t="shared" si="1"/>
        <v>102001</v>
      </c>
      <c r="AA37" s="3127">
        <f>ROUND($AA$57*Y37/$Y$54,0)</f>
        <v>15356</v>
      </c>
    </row>
    <row r="38" spans="2:28">
      <c r="B38" s="3129" t="s">
        <v>3456</v>
      </c>
      <c r="C38" s="3129">
        <f>SUM(C9,C31,C36)</f>
        <v>84373.10000000002</v>
      </c>
      <c r="D38" s="3129"/>
      <c r="E38" s="3111"/>
      <c r="F38" s="3111"/>
      <c r="G38" s="3112" t="s">
        <v>3398</v>
      </c>
      <c r="H38" s="3112">
        <v>1873.83</v>
      </c>
      <c r="I38" s="3112" t="s">
        <v>3396</v>
      </c>
      <c r="J38" s="3124">
        <f>ROUND(H38*K38/10000,0)</f>
        <v>4902</v>
      </c>
      <c r="K38" s="3124">
        <f t="shared" si="2"/>
        <v>26160</v>
      </c>
      <c r="L38" s="3124">
        <f>ROUND(M38*H38/10000,0)</f>
        <v>1566</v>
      </c>
      <c r="M38" s="3124">
        <f t="shared" ref="M38:M40" si="8">M37</f>
        <v>8359.1592626534002</v>
      </c>
      <c r="N38" s="3124">
        <f t="shared" si="3"/>
        <v>6468</v>
      </c>
      <c r="O38" s="3124">
        <f>ROUND($O$34*N38/$N$55,0)</f>
        <v>15095</v>
      </c>
      <c r="P38" s="3124">
        <f t="shared" si="4"/>
        <v>80556.934193603476</v>
      </c>
      <c r="Q38" s="3124"/>
      <c r="R38" s="3124">
        <f>$O$34*J38/$J$55</f>
        <v>15961.204232202281</v>
      </c>
      <c r="S38" s="3124">
        <f t="shared" si="5"/>
        <v>85179.574626312315</v>
      </c>
      <c r="U38" s="3125">
        <f>[1]取值过程!N34</f>
        <v>13821</v>
      </c>
      <c r="V38" s="3126"/>
      <c r="W38" s="3126">
        <f>ROUND($W$57*U38/$U$56,0)</f>
        <v>17546</v>
      </c>
      <c r="X38" s="3126">
        <f t="shared" si="6"/>
        <v>1566</v>
      </c>
      <c r="Y38" s="3126">
        <f t="shared" si="7"/>
        <v>19112</v>
      </c>
      <c r="Z38" s="3126">
        <f t="shared" si="1"/>
        <v>101994</v>
      </c>
      <c r="AA38" s="3127">
        <f>ROUND($AA$57*Y38/$Y$54,0)</f>
        <v>17173</v>
      </c>
    </row>
    <row r="39" spans="2:28">
      <c r="G39" s="3112" t="s">
        <v>3399</v>
      </c>
      <c r="H39" s="3112">
        <v>1873.83</v>
      </c>
      <c r="I39" s="3112" t="s">
        <v>3396</v>
      </c>
      <c r="J39" s="3124">
        <f>ROUND(H39*K39/10000,0)</f>
        <v>4436</v>
      </c>
      <c r="K39" s="3124">
        <f t="shared" si="2"/>
        <v>23673</v>
      </c>
      <c r="L39" s="3124">
        <f>ROUND(M39*H39/10000,0)</f>
        <v>1566</v>
      </c>
      <c r="M39" s="3124">
        <f t="shared" si="8"/>
        <v>8359.1592626534002</v>
      </c>
      <c r="N39" s="3124">
        <f t="shared" si="3"/>
        <v>6002</v>
      </c>
      <c r="O39" s="3124">
        <f>ROUND($O$34*N39/$N$55,0)</f>
        <v>14007</v>
      </c>
      <c r="P39" s="3124">
        <f t="shared" si="4"/>
        <v>74750.644402106918</v>
      </c>
      <c r="Q39" s="3124"/>
      <c r="R39" s="3124">
        <f>$O$34*J39/$J$55</f>
        <v>14443.880451662448</v>
      </c>
      <c r="S39" s="3124">
        <f t="shared" si="5"/>
        <v>77082.128323606987</v>
      </c>
      <c r="U39" s="3125">
        <f>[1]取值过程!N35</f>
        <v>13821</v>
      </c>
      <c r="V39" s="3126"/>
      <c r="W39" s="3126">
        <f>ROUND($W$57*U39/$U$56,0)</f>
        <v>17546</v>
      </c>
      <c r="X39" s="3126">
        <f t="shared" si="6"/>
        <v>1566</v>
      </c>
      <c r="Y39" s="3126">
        <f t="shared" si="7"/>
        <v>19112</v>
      </c>
      <c r="Z39" s="3126">
        <f t="shared" si="1"/>
        <v>101994</v>
      </c>
      <c r="AA39" s="3127">
        <f>ROUND($AA$57*Y39/$Y$54,0)</f>
        <v>17173</v>
      </c>
    </row>
    <row r="40" spans="2:28">
      <c r="G40" s="3112" t="s">
        <v>3400</v>
      </c>
      <c r="H40" s="3112">
        <v>1873.83</v>
      </c>
      <c r="I40" s="3112" t="s">
        <v>3396</v>
      </c>
      <c r="J40" s="3124">
        <f>ROUND(H40*K40/10000,0)</f>
        <v>4228</v>
      </c>
      <c r="K40" s="3124">
        <f t="shared" si="2"/>
        <v>22562</v>
      </c>
      <c r="L40" s="3124">
        <f>ROUND(M40*H40/10000,0)</f>
        <v>1566</v>
      </c>
      <c r="M40" s="3124">
        <f t="shared" si="8"/>
        <v>8359.1592626534002</v>
      </c>
      <c r="N40" s="3124">
        <f t="shared" si="3"/>
        <v>5794</v>
      </c>
      <c r="O40" s="3124">
        <f>ROUND($O$34*N40/$N$55,0)</f>
        <v>13522</v>
      </c>
      <c r="P40" s="3124">
        <f t="shared" si="4"/>
        <v>72162.362647625458</v>
      </c>
      <c r="Q40" s="3124"/>
      <c r="R40" s="3124">
        <f>$O$34*J40/$J$55</f>
        <v>13766.620051764839</v>
      </c>
      <c r="S40" s="3124">
        <f t="shared" si="5"/>
        <v>73467.817527549676</v>
      </c>
      <c r="U40" s="3125">
        <f>[1]取值过程!N36</f>
        <v>13821</v>
      </c>
      <c r="V40" s="3126"/>
      <c r="W40" s="3126">
        <f>ROUND($W$57*U40/$U$56,0)</f>
        <v>17546</v>
      </c>
      <c r="X40" s="3126">
        <f t="shared" si="6"/>
        <v>1566</v>
      </c>
      <c r="Y40" s="3126">
        <f t="shared" si="7"/>
        <v>19112</v>
      </c>
      <c r="Z40" s="3126">
        <f t="shared" si="1"/>
        <v>101994</v>
      </c>
      <c r="AA40" s="3127">
        <f>ROUND($AA$57*Y40/$Y$54,0)</f>
        <v>17173</v>
      </c>
    </row>
    <row r="41" spans="2:28">
      <c r="H41" s="3110">
        <f>SUM(H36:H40)</f>
        <v>9115.24</v>
      </c>
      <c r="J41" s="3124"/>
      <c r="K41" s="3124"/>
      <c r="L41" s="3124"/>
      <c r="M41" s="3124"/>
      <c r="N41" s="3124"/>
      <c r="O41" s="3124"/>
      <c r="P41" s="3124"/>
      <c r="Q41" s="3124"/>
      <c r="R41" s="3124"/>
      <c r="S41" s="3124"/>
      <c r="U41" s="3125"/>
      <c r="V41" s="3126"/>
      <c r="W41" s="3130">
        <f>SUM(W36:W40)</f>
        <v>85352</v>
      </c>
      <c r="X41" s="3130">
        <f>SUM(X36:X40)</f>
        <v>7619</v>
      </c>
      <c r="Y41" s="3130">
        <f>SUM(Y36:Y40)</f>
        <v>92971</v>
      </c>
      <c r="Z41" s="3130">
        <f t="shared" si="1"/>
        <v>101995</v>
      </c>
      <c r="AA41" s="3131">
        <f>SUM(AA36:AA40)</f>
        <v>83539</v>
      </c>
      <c r="AB41" s="3132" t="s">
        <v>3457</v>
      </c>
    </row>
    <row r="42" spans="2:28">
      <c r="G42" s="3113" t="s">
        <v>3401</v>
      </c>
      <c r="H42" s="3113"/>
      <c r="I42" s="3113"/>
      <c r="J42" s="3124"/>
      <c r="K42" s="3124"/>
      <c r="L42" s="3124"/>
      <c r="M42" s="3124"/>
      <c r="N42" s="3124"/>
      <c r="O42" s="3124"/>
      <c r="P42" s="3124"/>
      <c r="Q42" s="3124"/>
      <c r="R42" s="3124"/>
      <c r="S42" s="3124"/>
      <c r="U42" s="3125"/>
      <c r="V42" s="3126"/>
      <c r="W42" s="3126"/>
      <c r="X42" s="3126"/>
      <c r="Y42" s="3126"/>
      <c r="Z42" s="3126"/>
      <c r="AA42" s="3127"/>
    </row>
    <row r="43" spans="2:28">
      <c r="G43" s="3112" t="s">
        <v>3395</v>
      </c>
      <c r="H43" s="3112">
        <v>3343.12</v>
      </c>
      <c r="I43" s="3112" t="s">
        <v>3396</v>
      </c>
      <c r="J43" s="3124">
        <f t="shared" ref="J43:J48" si="9">ROUND(H43*K43/10000,0)</f>
        <v>12749</v>
      </c>
      <c r="K43" s="3124">
        <f>H26</f>
        <v>38136</v>
      </c>
      <c r="L43" s="3124">
        <f t="shared" ref="L43:L48" si="10">ROUND(M43*H43/10000,0)</f>
        <v>2795</v>
      </c>
      <c r="M43" s="3124">
        <f>M36</f>
        <v>8359.1592626534002</v>
      </c>
      <c r="N43" s="3124">
        <f t="shared" ref="N43:N48" si="11">J43+L43</f>
        <v>15544</v>
      </c>
      <c r="O43" s="3124">
        <f t="shared" ref="O43:O48" si="12">ROUND($O$34*N43/$N$55,0)</f>
        <v>36275</v>
      </c>
      <c r="P43" s="3124">
        <f t="shared" ref="P43:P48" si="13">O43*10000/H43</f>
        <v>108506.42513580128</v>
      </c>
      <c r="Q43" s="3124"/>
      <c r="R43" s="3124">
        <f t="shared" ref="R43:R48" si="14">$O$34*J43/$J$55</f>
        <v>41511.50403026252</v>
      </c>
      <c r="S43" s="3124">
        <f t="shared" ref="S43:S48" si="15">R43*10000/H43</f>
        <v>124169.94912017074</v>
      </c>
      <c r="U43" s="3125">
        <f>[1]取值过程!N41</f>
        <v>23361</v>
      </c>
      <c r="V43" s="3126"/>
      <c r="W43" s="3126">
        <f>ROUND($W$57*U43/$U$56,0)</f>
        <v>29657</v>
      </c>
      <c r="X43" s="3126">
        <f t="shared" ref="X43:X48" si="16">L43</f>
        <v>2795</v>
      </c>
      <c r="Y43" s="3126">
        <f t="shared" ref="Y43:Y46" si="17">X43+W43</f>
        <v>32452</v>
      </c>
      <c r="Z43" s="3126">
        <f t="shared" ref="Z43:Z49" si="18">ROUND(Y43*10000/H43,0)</f>
        <v>97071</v>
      </c>
      <c r="AA43" s="3127">
        <f t="shared" ref="AA43:AA48" si="19">ROUND($AA$57*Y43/$Y$54,0)</f>
        <v>29160</v>
      </c>
    </row>
    <row r="44" spans="2:28">
      <c r="G44" s="3112" t="s">
        <v>3412</v>
      </c>
      <c r="H44" s="3112">
        <v>3244.08</v>
      </c>
      <c r="I44" s="3112" t="s">
        <v>3396</v>
      </c>
      <c r="J44" s="3124">
        <f t="shared" si="9"/>
        <v>9822</v>
      </c>
      <c r="K44" s="3124">
        <f t="shared" ref="K44:K47" si="20">H27</f>
        <v>30276</v>
      </c>
      <c r="L44" s="3124">
        <f t="shared" si="10"/>
        <v>2712</v>
      </c>
      <c r="M44" s="3124">
        <f>M43</f>
        <v>8359.1592626534002</v>
      </c>
      <c r="N44" s="3124">
        <f t="shared" si="11"/>
        <v>12534</v>
      </c>
      <c r="O44" s="3124">
        <f t="shared" si="12"/>
        <v>29251</v>
      </c>
      <c r="P44" s="3124">
        <f t="shared" si="13"/>
        <v>90167.320164730831</v>
      </c>
      <c r="Q44" s="3124"/>
      <c r="R44" s="3124">
        <f t="shared" si="14"/>
        <v>31981.017537472624</v>
      </c>
      <c r="S44" s="3124">
        <f t="shared" si="15"/>
        <v>98582.703069815252</v>
      </c>
      <c r="U44" s="3125">
        <f>[1]取值过程!N42</f>
        <v>17631</v>
      </c>
      <c r="V44" s="3126"/>
      <c r="W44" s="3126">
        <f>ROUND($W$57*U44/$U$56,0)</f>
        <v>22383</v>
      </c>
      <c r="X44" s="3126">
        <f t="shared" si="16"/>
        <v>2712</v>
      </c>
      <c r="Y44" s="3126">
        <f t="shared" si="17"/>
        <v>25095</v>
      </c>
      <c r="Z44" s="3126">
        <f t="shared" si="18"/>
        <v>77356</v>
      </c>
      <c r="AA44" s="3127">
        <f t="shared" si="19"/>
        <v>22549</v>
      </c>
    </row>
    <row r="45" spans="2:28">
      <c r="G45" s="3112" t="s">
        <v>3415</v>
      </c>
      <c r="H45" s="3112">
        <v>3963.74</v>
      </c>
      <c r="I45" s="3112" t="s">
        <v>3396</v>
      </c>
      <c r="J45" s="3124">
        <f t="shared" si="9"/>
        <v>10369</v>
      </c>
      <c r="K45" s="3124">
        <f t="shared" si="20"/>
        <v>26160</v>
      </c>
      <c r="L45" s="3124">
        <f t="shared" si="10"/>
        <v>3313</v>
      </c>
      <c r="M45" s="3124">
        <f t="shared" ref="M45:M48" si="21">M44</f>
        <v>8359.1592626534002</v>
      </c>
      <c r="N45" s="3124">
        <f t="shared" si="11"/>
        <v>13682</v>
      </c>
      <c r="O45" s="3124">
        <f t="shared" si="12"/>
        <v>31930</v>
      </c>
      <c r="P45" s="3124">
        <f t="shared" si="13"/>
        <v>80555.23318885699</v>
      </c>
      <c r="Q45" s="3124"/>
      <c r="R45" s="3124">
        <f t="shared" si="14"/>
        <v>33762.082146818735</v>
      </c>
      <c r="S45" s="3124">
        <f t="shared" si="15"/>
        <v>85177.337935431526</v>
      </c>
      <c r="U45" s="3125">
        <f>[1]取值过程!N43</f>
        <v>20773</v>
      </c>
      <c r="V45" s="3126"/>
      <c r="W45" s="3126">
        <f>ROUND($W$57*U45/$U$56,0)</f>
        <v>26371</v>
      </c>
      <c r="X45" s="3126">
        <f t="shared" si="16"/>
        <v>3313</v>
      </c>
      <c r="Y45" s="3126">
        <f t="shared" si="17"/>
        <v>29684</v>
      </c>
      <c r="Z45" s="3126">
        <f t="shared" si="18"/>
        <v>74889</v>
      </c>
      <c r="AA45" s="3127">
        <f t="shared" si="19"/>
        <v>26673</v>
      </c>
    </row>
    <row r="46" spans="2:28">
      <c r="G46" s="3112" t="s">
        <v>3418</v>
      </c>
      <c r="H46" s="3112">
        <v>3963.74</v>
      </c>
      <c r="I46" s="3112" t="s">
        <v>3396</v>
      </c>
      <c r="J46" s="3124">
        <f t="shared" si="9"/>
        <v>9383</v>
      </c>
      <c r="K46" s="3124">
        <f t="shared" si="20"/>
        <v>23673</v>
      </c>
      <c r="L46" s="3124">
        <f t="shared" si="10"/>
        <v>3313</v>
      </c>
      <c r="M46" s="3124">
        <f t="shared" si="21"/>
        <v>8359.1592626534002</v>
      </c>
      <c r="N46" s="3124">
        <f t="shared" si="11"/>
        <v>12696</v>
      </c>
      <c r="O46" s="3124">
        <f t="shared" si="12"/>
        <v>29629</v>
      </c>
      <c r="P46" s="3124">
        <f t="shared" si="13"/>
        <v>74750.109744836955</v>
      </c>
      <c r="Q46" s="3124"/>
      <c r="R46" s="3124">
        <f t="shared" si="14"/>
        <v>30551.607366534885</v>
      </c>
      <c r="S46" s="3124">
        <f t="shared" si="15"/>
        <v>77077.728020846189</v>
      </c>
      <c r="U46" s="3125">
        <f>[1]取值过程!N44</f>
        <v>20773</v>
      </c>
      <c r="V46" s="3126"/>
      <c r="W46" s="3126">
        <f>ROUND($W$57*U46/$U$56,0)</f>
        <v>26371</v>
      </c>
      <c r="X46" s="3126">
        <f t="shared" si="16"/>
        <v>3313</v>
      </c>
      <c r="Y46" s="3126">
        <f t="shared" si="17"/>
        <v>29684</v>
      </c>
      <c r="Z46" s="3126">
        <f t="shared" si="18"/>
        <v>74889</v>
      </c>
      <c r="AA46" s="3127">
        <f t="shared" si="19"/>
        <v>26673</v>
      </c>
    </row>
    <row r="47" spans="2:28">
      <c r="G47" s="3112" t="s">
        <v>3421</v>
      </c>
      <c r="H47" s="3112">
        <v>3963.74</v>
      </c>
      <c r="I47" s="3112" t="s">
        <v>3396</v>
      </c>
      <c r="J47" s="3124">
        <f t="shared" si="9"/>
        <v>8943</v>
      </c>
      <c r="K47" s="3124">
        <f t="shared" si="20"/>
        <v>22562</v>
      </c>
      <c r="L47" s="3124">
        <f t="shared" si="10"/>
        <v>3313</v>
      </c>
      <c r="M47" s="3124">
        <f t="shared" si="21"/>
        <v>8359.1592626534002</v>
      </c>
      <c r="N47" s="3124">
        <f t="shared" si="11"/>
        <v>12256</v>
      </c>
      <c r="O47" s="3124">
        <f t="shared" si="12"/>
        <v>28602</v>
      </c>
      <c r="P47" s="3124">
        <f t="shared" si="13"/>
        <v>72159.122444963592</v>
      </c>
      <c r="Q47" s="3124"/>
      <c r="R47" s="3124">
        <f t="shared" si="14"/>
        <v>29118.941135982252</v>
      </c>
      <c r="S47" s="3124">
        <f t="shared" si="15"/>
        <v>73463.297632998772</v>
      </c>
      <c r="U47" s="3125">
        <f>[1]取值过程!N45</f>
        <v>20773</v>
      </c>
      <c r="V47" s="3126"/>
      <c r="W47" s="3126">
        <f>ROUND($W$57*U47/$U$56,0)</f>
        <v>26371</v>
      </c>
      <c r="X47" s="3126">
        <f t="shared" si="16"/>
        <v>3313</v>
      </c>
      <c r="Y47" s="3126">
        <f>X47+W47</f>
        <v>29684</v>
      </c>
      <c r="Z47" s="3126">
        <f t="shared" si="18"/>
        <v>74889</v>
      </c>
      <c r="AA47" s="3127">
        <f t="shared" si="19"/>
        <v>26673</v>
      </c>
    </row>
    <row r="48" spans="2:28">
      <c r="G48" s="3126" t="s">
        <v>3458</v>
      </c>
      <c r="H48" s="3126">
        <f>SUM(C17:C30)</f>
        <v>35300.840000000011</v>
      </c>
      <c r="I48" s="3126" t="s">
        <v>2810</v>
      </c>
      <c r="J48" s="3124">
        <f t="shared" si="9"/>
        <v>85015</v>
      </c>
      <c r="K48" s="3124">
        <f>H24</f>
        <v>24083</v>
      </c>
      <c r="L48" s="3124">
        <f t="shared" si="10"/>
        <v>29509</v>
      </c>
      <c r="M48" s="3124">
        <f t="shared" si="21"/>
        <v>8359.1592626534002</v>
      </c>
      <c r="N48" s="3124">
        <f t="shared" si="11"/>
        <v>114524</v>
      </c>
      <c r="O48" s="3124">
        <f t="shared" si="12"/>
        <v>267267</v>
      </c>
      <c r="P48" s="3124">
        <f t="shared" si="13"/>
        <v>75711.229534481303</v>
      </c>
      <c r="Q48" s="3124"/>
      <c r="R48" s="3124">
        <f t="shared" si="14"/>
        <v>276813.90816007281</v>
      </c>
      <c r="S48" s="3124">
        <f t="shared" si="15"/>
        <v>78415.671740409773</v>
      </c>
      <c r="U48" s="3125"/>
      <c r="V48" s="3126"/>
      <c r="W48" s="3133">
        <f>Y48-X48</f>
        <v>263196</v>
      </c>
      <c r="X48" s="3126">
        <f t="shared" si="16"/>
        <v>29509</v>
      </c>
      <c r="Y48" s="3133">
        <f>[1]收益法办!B2</f>
        <v>292705</v>
      </c>
      <c r="Z48" s="3126">
        <f t="shared" si="18"/>
        <v>82917</v>
      </c>
      <c r="AA48" s="3127">
        <f t="shared" si="19"/>
        <v>263010</v>
      </c>
      <c r="AB48" s="3132" t="s">
        <v>3459</v>
      </c>
    </row>
    <row r="49" spans="2:28">
      <c r="H49" s="3110">
        <f>SUM(H43:H48)</f>
        <v>53779.260000000009</v>
      </c>
      <c r="J49" s="3124"/>
      <c r="K49" s="3124"/>
      <c r="L49" s="3124"/>
      <c r="M49" s="3124"/>
      <c r="N49" s="3124"/>
      <c r="O49" s="3124"/>
      <c r="P49" s="3124"/>
      <c r="Q49" s="3124"/>
      <c r="R49" s="3124"/>
      <c r="S49" s="3124"/>
      <c r="U49" s="3125"/>
      <c r="V49" s="3126"/>
      <c r="W49" s="3130">
        <f>SUM(W43:W48)</f>
        <v>394349</v>
      </c>
      <c r="X49" s="3130">
        <f>SUM(X43:X48)</f>
        <v>44955</v>
      </c>
      <c r="Y49" s="3130">
        <f>SUM(Y43:Y48)</f>
        <v>439304</v>
      </c>
      <c r="Z49" s="3130">
        <f t="shared" si="18"/>
        <v>81687</v>
      </c>
      <c r="AA49" s="3131">
        <f>SUM(AA43:AA48)</f>
        <v>394738</v>
      </c>
    </row>
    <row r="50" spans="2:28">
      <c r="J50" s="3124">
        <f>J55-J51-J52-J53</f>
        <v>161854</v>
      </c>
      <c r="K50" s="3124"/>
      <c r="L50" s="3124"/>
      <c r="M50" s="3124"/>
      <c r="N50" s="3124"/>
      <c r="O50" s="3124"/>
      <c r="P50" s="3124"/>
      <c r="Q50" s="3124"/>
      <c r="R50" s="3124"/>
      <c r="S50" s="3124"/>
      <c r="U50" s="3125"/>
      <c r="V50" s="3126"/>
      <c r="W50" s="3130"/>
      <c r="X50" s="3130"/>
      <c r="Y50" s="3130"/>
      <c r="Z50" s="3130"/>
      <c r="AA50" s="3127"/>
    </row>
    <row r="51" spans="2:28">
      <c r="G51" s="3112" t="s">
        <v>3441</v>
      </c>
      <c r="H51" s="3112">
        <v>6877.51</v>
      </c>
      <c r="I51" s="3112" t="s">
        <v>3396</v>
      </c>
      <c r="J51" s="3124">
        <f>ROUND(H51*K51/10000,0)</f>
        <v>12074</v>
      </c>
      <c r="K51" s="3124">
        <f>H31</f>
        <v>17556</v>
      </c>
      <c r="L51" s="3124">
        <f>ROUND(M51*H51/10000,0)</f>
        <v>5749</v>
      </c>
      <c r="M51" s="3124">
        <f>M43</f>
        <v>8359.1592626534002</v>
      </c>
      <c r="N51" s="3124">
        <f t="shared" ref="N51:N53" si="22">J51+L51</f>
        <v>17823</v>
      </c>
      <c r="O51" s="3124">
        <f>ROUND($O$34*N51/$N$55,0)</f>
        <v>41594</v>
      </c>
      <c r="P51" s="3124">
        <f t="shared" ref="P51:P53" si="23">O51*10000/H51</f>
        <v>60478.283564836689</v>
      </c>
      <c r="Q51" s="3124"/>
      <c r="R51" s="3124">
        <f>$O$34*J51/$J$55</f>
        <v>39313.663790210187</v>
      </c>
      <c r="S51" s="3124">
        <f t="shared" ref="S51:S53" si="24">R51*10000/H51</f>
        <v>57162.641406861185</v>
      </c>
      <c r="U51" s="3125">
        <f>[1]取值过程!N48</f>
        <v>16820</v>
      </c>
      <c r="V51" s="3126"/>
      <c r="W51" s="3126">
        <f>ROUND($W$57*U51/$U$56,0)</f>
        <v>21353</v>
      </c>
      <c r="X51" s="3126">
        <f t="shared" ref="X51:X53" si="25">L51</f>
        <v>5749</v>
      </c>
      <c r="Y51" s="3126">
        <f>X51+W51</f>
        <v>27102</v>
      </c>
      <c r="Z51" s="3126">
        <f>ROUND(Y51*10000/H51,0)</f>
        <v>39407</v>
      </c>
      <c r="AA51" s="3127">
        <f>ROUND($AA$57*Y51/$Y$54,0)</f>
        <v>24352</v>
      </c>
    </row>
    <row r="52" spans="2:28">
      <c r="G52" s="3112" t="s">
        <v>3443</v>
      </c>
      <c r="H52" s="3112">
        <v>7475.14</v>
      </c>
      <c r="I52" s="3112" t="s">
        <v>3442</v>
      </c>
      <c r="J52" s="3124">
        <f>ROUND(H52*K52/10000,0)</f>
        <v>956</v>
      </c>
      <c r="K52" s="3124">
        <f>[1]基准地价修正办!G42</f>
        <v>1279</v>
      </c>
      <c r="L52" s="3124">
        <f>ROUND(M52*H52/10000,0)</f>
        <v>5711</v>
      </c>
      <c r="M52" s="3124">
        <f>[1]收益法车!I36</f>
        <v>7639.8405872438288</v>
      </c>
      <c r="N52" s="3124">
        <f t="shared" si="22"/>
        <v>6667</v>
      </c>
      <c r="O52" s="3124">
        <f>ROUND($O$34*N52/$N$55,0)</f>
        <v>15559</v>
      </c>
      <c r="P52" s="3124">
        <f t="shared" si="23"/>
        <v>20814.325885535254</v>
      </c>
      <c r="Q52" s="3124"/>
      <c r="R52" s="3124">
        <f>$O$34*J52/$J$55</f>
        <v>3112.7929918370828</v>
      </c>
      <c r="S52" s="3124">
        <f t="shared" si="24"/>
        <v>4164.1935694008171</v>
      </c>
      <c r="U52" s="3125"/>
      <c r="V52" s="3126"/>
      <c r="W52" s="3133">
        <f>J52</f>
        <v>956</v>
      </c>
      <c r="X52" s="3126">
        <f t="shared" si="25"/>
        <v>5711</v>
      </c>
      <c r="Y52" s="3133">
        <f>X52+W52</f>
        <v>6667</v>
      </c>
      <c r="Z52" s="3126">
        <f>ROUND(Y52*10000/H52,0)</f>
        <v>8919</v>
      </c>
      <c r="AA52" s="3127">
        <f>ROUND($AA$57*Y52/$Y$54,0)</f>
        <v>5991</v>
      </c>
      <c r="AB52" s="3132" t="s">
        <v>3460</v>
      </c>
    </row>
    <row r="53" spans="2:28">
      <c r="G53" s="3112" t="s">
        <v>3446</v>
      </c>
      <c r="H53" s="3112">
        <v>7125.95</v>
      </c>
      <c r="I53" s="3112" t="s">
        <v>3442</v>
      </c>
      <c r="J53" s="3124">
        <f>ROUNDDOWN(H53*K53/10000,0)</f>
        <v>911</v>
      </c>
      <c r="K53" s="3124">
        <f>K52</f>
        <v>1279</v>
      </c>
      <c r="L53" s="3124">
        <f>ROUND(M53*H53/10000,0)</f>
        <v>5444</v>
      </c>
      <c r="M53" s="3124">
        <f>M52</f>
        <v>7639.8405872438288</v>
      </c>
      <c r="N53" s="3124">
        <f t="shared" si="22"/>
        <v>6355</v>
      </c>
      <c r="O53" s="3124">
        <f>ROUND($O$34*N53/$N$55,0)</f>
        <v>14831</v>
      </c>
      <c r="P53" s="3124">
        <f t="shared" si="23"/>
        <v>20812.663574681272</v>
      </c>
      <c r="Q53" s="3124"/>
      <c r="R53" s="3124">
        <f>$O$34*J53/$J$55</f>
        <v>2966.2703091669273</v>
      </c>
      <c r="S53" s="3124">
        <f t="shared" si="24"/>
        <v>4162.6313813132665</v>
      </c>
      <c r="U53" s="3125"/>
      <c r="V53" s="3126"/>
      <c r="W53" s="3133">
        <f>J53</f>
        <v>911</v>
      </c>
      <c r="X53" s="3126">
        <f t="shared" si="25"/>
        <v>5444</v>
      </c>
      <c r="Y53" s="3133">
        <f>X53+W53</f>
        <v>6355</v>
      </c>
      <c r="Z53" s="3126">
        <f>ROUND(Y53*10000/H53,0)</f>
        <v>8918</v>
      </c>
      <c r="AA53" s="3127">
        <f>AA57-AA41-AA49-AA51-AA52</f>
        <v>5708</v>
      </c>
    </row>
    <row r="54" spans="2:28">
      <c r="J54" s="3124"/>
      <c r="K54" s="3124"/>
      <c r="L54" s="3124"/>
      <c r="M54" s="3124"/>
      <c r="N54" s="3124"/>
      <c r="O54" s="3124"/>
      <c r="P54" s="3124"/>
      <c r="Q54" s="3124"/>
      <c r="R54" s="3124"/>
      <c r="S54" s="3124"/>
      <c r="U54" s="3125"/>
      <c r="V54" s="3126" t="s">
        <v>2590</v>
      </c>
      <c r="W54" s="3126">
        <f>Y54-X54</f>
        <v>502921</v>
      </c>
      <c r="X54" s="3126">
        <f>X41+X49+X51+X52+X53</f>
        <v>69478</v>
      </c>
      <c r="Y54" s="3126">
        <f>[1]系统读取表!D14</f>
        <v>572399</v>
      </c>
      <c r="Z54" s="3126"/>
      <c r="AA54" s="3127">
        <f>AA41+AA49+AA51+AA52+AA53</f>
        <v>514328</v>
      </c>
    </row>
    <row r="55" spans="2:28">
      <c r="J55" s="3124">
        <f>SUM(J36:J40,J43:J48,J51:J53)</f>
        <v>175795</v>
      </c>
      <c r="K55" s="3124"/>
      <c r="L55" s="3124">
        <f>SUM(L36:L40,L43:L48,L51:L53)</f>
        <v>69478</v>
      </c>
      <c r="M55" s="3124"/>
      <c r="N55" s="3124">
        <f>SUM(N36:N40,N43:N48,N51:N53)</f>
        <v>245273</v>
      </c>
      <c r="O55" s="3124">
        <f>SUM(O36:O40,O43:O48,O51:O53)</f>
        <v>572400</v>
      </c>
      <c r="P55" s="3124"/>
      <c r="Q55" s="3124"/>
      <c r="R55" s="3124">
        <f>SUM(R36:R40,R43:R48,R51:R53)</f>
        <v>572399.00000000012</v>
      </c>
      <c r="S55" s="3124"/>
      <c r="U55" s="3125"/>
      <c r="V55" s="3126"/>
      <c r="W55" s="3126"/>
      <c r="X55" s="3126"/>
      <c r="Y55" s="3126"/>
      <c r="Z55" s="3126"/>
      <c r="AA55" s="3127"/>
    </row>
    <row r="56" spans="2:28">
      <c r="J56" s="3124"/>
      <c r="K56" s="3124"/>
      <c r="L56" s="3124"/>
      <c r="M56" s="3124"/>
      <c r="N56" s="3124"/>
      <c r="O56" s="3124"/>
      <c r="P56" s="3124"/>
      <c r="Q56" s="3124"/>
      <c r="R56" s="3124"/>
      <c r="S56" s="3124"/>
      <c r="U56" s="3125">
        <f>SUM(U36:U40,U43:U48,U51)</f>
        <v>187363</v>
      </c>
      <c r="V56" s="3126" t="s">
        <v>3461</v>
      </c>
      <c r="W56" s="3126">
        <f>W48+W52+W53</f>
        <v>265063</v>
      </c>
      <c r="X56" s="3126">
        <f>X48+X52+X53</f>
        <v>40664</v>
      </c>
      <c r="Y56" s="3126">
        <f>Y48+Y52+Y53</f>
        <v>305727</v>
      </c>
      <c r="Z56" s="3126"/>
      <c r="AA56" s="3127"/>
    </row>
    <row r="57" spans="2:28">
      <c r="U57" s="3125"/>
      <c r="V57" s="3126" t="s">
        <v>3396</v>
      </c>
      <c r="W57" s="3126">
        <f>W54-W56</f>
        <v>237858</v>
      </c>
      <c r="X57" s="3126">
        <f t="shared" ref="X57:Y57" si="26">X54-X56</f>
        <v>28814</v>
      </c>
      <c r="Y57" s="3126">
        <f t="shared" si="26"/>
        <v>266672</v>
      </c>
      <c r="Z57" s="3126"/>
      <c r="AA57" s="3127">
        <f>[1]系统读取表!B8</f>
        <v>514328</v>
      </c>
    </row>
    <row r="58" spans="2:28">
      <c r="U58" s="3125"/>
      <c r="V58" s="3126" t="s">
        <v>2590</v>
      </c>
      <c r="W58" s="3126">
        <f>W56+W57</f>
        <v>502921</v>
      </c>
      <c r="X58" s="3126">
        <f t="shared" ref="X58:Y58" si="27">X56+X57</f>
        <v>69478</v>
      </c>
      <c r="Y58" s="3126">
        <f t="shared" si="27"/>
        <v>572399</v>
      </c>
      <c r="Z58" s="3126"/>
      <c r="AA58" s="3127"/>
    </row>
    <row r="59" spans="2:28" customFormat="1" ht="13.5"/>
    <row r="60" spans="2:28" customFormat="1" ht="13.5">
      <c r="B60" s="1402" t="s">
        <v>3462</v>
      </c>
    </row>
    <row r="61" spans="2:28" customFormat="1" ht="13.5">
      <c r="B61" s="3134"/>
      <c r="C61" s="3135" t="s">
        <v>2326</v>
      </c>
      <c r="D61" s="3135" t="s">
        <v>3463</v>
      </c>
      <c r="E61" s="3135" t="s">
        <v>3464</v>
      </c>
      <c r="F61" s="3134"/>
      <c r="G61" s="3136" t="s">
        <v>3465</v>
      </c>
    </row>
    <row r="62" spans="2:28" customFormat="1" ht="13.5">
      <c r="B62" s="3137" t="s">
        <v>3466</v>
      </c>
      <c r="C62" s="3138">
        <f>C63+C64</f>
        <v>84373.10000000002</v>
      </c>
      <c r="D62" s="3138">
        <f>E62/C62</f>
        <v>2763.7007529651037</v>
      </c>
      <c r="E62" s="3138">
        <f>E63+E64</f>
        <v>233182000.00000006</v>
      </c>
      <c r="F62" s="3134"/>
      <c r="G62" s="3139">
        <v>1</v>
      </c>
    </row>
    <row r="63" spans="2:28" customFormat="1" ht="13.5">
      <c r="B63" s="3135" t="s">
        <v>3467</v>
      </c>
      <c r="C63" s="3140">
        <f>C31+C9</f>
        <v>62894.500000000022</v>
      </c>
      <c r="D63" s="3134">
        <v>2000</v>
      </c>
      <c r="E63" s="3134">
        <f>D63*C63</f>
        <v>125789000.00000004</v>
      </c>
      <c r="F63" s="3134"/>
      <c r="G63" s="3134"/>
    </row>
    <row r="64" spans="2:28" customFormat="1" ht="13.5">
      <c r="B64" s="3135" t="s">
        <v>2636</v>
      </c>
      <c r="C64" s="3134">
        <f>C36</f>
        <v>21478.600000000002</v>
      </c>
      <c r="D64" s="3134">
        <v>5000</v>
      </c>
      <c r="E64" s="3134">
        <f t="shared" ref="E64:E67" si="28">D64*C64</f>
        <v>107393000.00000001</v>
      </c>
      <c r="F64" s="3134"/>
      <c r="G64" s="3134"/>
    </row>
    <row r="65" spans="2:16" customFormat="1" ht="13.5">
      <c r="B65" s="3137" t="s">
        <v>3468</v>
      </c>
      <c r="C65" s="3138">
        <f>C62</f>
        <v>84373.10000000002</v>
      </c>
      <c r="D65" s="3138">
        <v>1000</v>
      </c>
      <c r="E65" s="3138">
        <f>D65*C65</f>
        <v>84373100.000000015</v>
      </c>
      <c r="F65" s="3134"/>
      <c r="G65" s="3139">
        <v>1</v>
      </c>
    </row>
    <row r="66" spans="2:16" customFormat="1" ht="13.5">
      <c r="B66" s="3137" t="s">
        <v>3469</v>
      </c>
      <c r="C66" s="3138">
        <f>C62</f>
        <v>84373.10000000002</v>
      </c>
      <c r="D66" s="3138">
        <v>2000</v>
      </c>
      <c r="E66" s="3138">
        <f>D66*C66</f>
        <v>168746200.00000003</v>
      </c>
      <c r="F66" s="3134"/>
      <c r="G66" s="3139">
        <v>1</v>
      </c>
    </row>
    <row r="67" spans="2:16" customFormat="1" ht="13.5">
      <c r="B67" s="3137" t="s">
        <v>3470</v>
      </c>
      <c r="C67" s="3138">
        <v>0</v>
      </c>
      <c r="D67" s="3138">
        <f>D64</f>
        <v>5000</v>
      </c>
      <c r="E67" s="3138">
        <f t="shared" si="28"/>
        <v>0</v>
      </c>
      <c r="F67" s="3134"/>
      <c r="G67" s="3134"/>
    </row>
    <row r="68" spans="2:16" customFormat="1" ht="13.5">
      <c r="B68" s="3135" t="s">
        <v>3471</v>
      </c>
      <c r="C68" s="3134">
        <f>C62</f>
        <v>84373.10000000002</v>
      </c>
      <c r="D68" s="3134">
        <f>E68/C68</f>
        <v>5763.7007529651037</v>
      </c>
      <c r="E68" s="3134">
        <f>E62+E65+E66+E67</f>
        <v>486301300.00000012</v>
      </c>
      <c r="F68" s="3134"/>
      <c r="G68" s="3137">
        <f>(G62*E62+G65*E65+G66*E66)/E68</f>
        <v>1</v>
      </c>
    </row>
    <row r="69" spans="2:16" customFormat="1" ht="13.5"/>
    <row r="70" spans="2:16" customFormat="1" ht="13.5"/>
    <row r="71" spans="2:16" customFormat="1" ht="13.5"/>
    <row r="72" spans="2:16" customFormat="1" ht="13.5">
      <c r="B72" s="1402" t="s">
        <v>3472</v>
      </c>
    </row>
    <row r="73" spans="2:16" customFormat="1" ht="13.5">
      <c r="B73" s="3134"/>
      <c r="C73" s="3135" t="s">
        <v>3473</v>
      </c>
      <c r="D73" s="3135"/>
      <c r="E73" s="3135" t="s">
        <v>3474</v>
      </c>
      <c r="F73" s="3135" t="s">
        <v>3475</v>
      </c>
      <c r="G73" s="3135" t="s">
        <v>3476</v>
      </c>
      <c r="H73" s="3136" t="s">
        <v>3477</v>
      </c>
    </row>
    <row r="74" spans="2:16" customFormat="1" ht="13.5">
      <c r="B74" s="3137" t="s">
        <v>3478</v>
      </c>
      <c r="C74" s="3138">
        <v>2009</v>
      </c>
      <c r="D74" s="3138">
        <v>2024</v>
      </c>
      <c r="E74" s="3138">
        <v>50</v>
      </c>
      <c r="F74" s="3134">
        <v>60</v>
      </c>
      <c r="G74" s="3134">
        <v>0</v>
      </c>
      <c r="H74" s="3141">
        <f>ROUND((1-G74)-(D74-C74)/F74,2)</f>
        <v>0.75</v>
      </c>
    </row>
    <row r="75" spans="2:16" customFormat="1" ht="13.5">
      <c r="B75" s="3135" t="s">
        <v>3479</v>
      </c>
      <c r="C75" s="3140"/>
      <c r="D75" s="3134"/>
      <c r="E75" s="3134"/>
      <c r="F75" s="3134"/>
      <c r="G75" s="3134"/>
      <c r="H75" s="3139">
        <v>0.98</v>
      </c>
    </row>
    <row r="76" spans="2:16" customFormat="1" ht="13.5">
      <c r="B76" s="3135"/>
      <c r="C76" s="3134"/>
      <c r="D76" s="3134"/>
      <c r="E76" s="3134"/>
      <c r="F76" s="3134"/>
      <c r="G76" s="3134"/>
      <c r="H76" s="3142"/>
    </row>
    <row r="77" spans="2:16" customFormat="1" ht="13.5"/>
    <row r="78" spans="2:16" customFormat="1" ht="13.5"/>
    <row r="79" spans="2:16" customFormat="1" ht="13.5">
      <c r="B79" s="1402" t="s">
        <v>3480</v>
      </c>
      <c r="D79" s="1402" t="s">
        <v>3481</v>
      </c>
      <c r="F79" s="1402" t="s">
        <v>3482</v>
      </c>
    </row>
    <row r="80" spans="2:16" customFormat="1" ht="13.5">
      <c r="B80" s="3135" t="s">
        <v>3483</v>
      </c>
      <c r="C80" s="3143" t="s">
        <v>3484</v>
      </c>
      <c r="D80" s="3135" t="s">
        <v>2326</v>
      </c>
      <c r="E80" s="3135" t="s">
        <v>3485</v>
      </c>
      <c r="F80" s="3135" t="s">
        <v>2326</v>
      </c>
      <c r="G80" s="3135" t="s">
        <v>3485</v>
      </c>
      <c r="M80">
        <f>'[1]收益法（汇总）'!B64</f>
        <v>0</v>
      </c>
      <c r="N80" s="1402" t="s">
        <v>3486</v>
      </c>
      <c r="P80" s="1402" t="s">
        <v>3487</v>
      </c>
    </row>
    <row r="81" spans="2:14" customFormat="1" ht="13.5">
      <c r="B81" s="3135">
        <v>1</v>
      </c>
      <c r="C81" s="3134">
        <v>1</v>
      </c>
      <c r="D81" s="3134">
        <f>[1]面积表!C70</f>
        <v>0</v>
      </c>
      <c r="E81" s="3134">
        <v>18</v>
      </c>
      <c r="F81" s="3134">
        <f>[1]面积表!C62</f>
        <v>0</v>
      </c>
      <c r="G81" s="3134">
        <v>19</v>
      </c>
      <c r="J81" s="1402" t="s">
        <v>3488</v>
      </c>
      <c r="K81">
        <f>L95</f>
        <v>0</v>
      </c>
      <c r="M81" t="e">
        <f>ROUND(K81/$K$26*$M$22,0)</f>
        <v>#DIV/0!</v>
      </c>
    </row>
    <row r="82" spans="2:14" customFormat="1" ht="13.5">
      <c r="B82" s="3135">
        <v>2</v>
      </c>
      <c r="C82" s="3140">
        <v>0.75</v>
      </c>
      <c r="D82" s="3134">
        <f>[1]面积表!C71</f>
        <v>0</v>
      </c>
      <c r="E82" s="3134">
        <v>14</v>
      </c>
      <c r="F82" s="3134">
        <f>[1]面积表!C63</f>
        <v>0</v>
      </c>
      <c r="G82" s="3134">
        <f>G81</f>
        <v>19</v>
      </c>
      <c r="J82" s="1402" t="s">
        <v>3489</v>
      </c>
      <c r="K82">
        <f>L104</f>
        <v>0</v>
      </c>
      <c r="M82" t="e">
        <f t="shared" ref="M82:M83" si="29">ROUND(K82/$K$26*$M$22,0)</f>
        <v>#DIV/0!</v>
      </c>
    </row>
    <row r="83" spans="2:14" customFormat="1" ht="13.5">
      <c r="B83" s="3135">
        <v>3</v>
      </c>
      <c r="C83" s="3134">
        <v>0.65</v>
      </c>
      <c r="D83" s="3134">
        <f>[1]面积表!C72</f>
        <v>0</v>
      </c>
      <c r="E83" s="3134">
        <v>13.5</v>
      </c>
      <c r="F83" s="3134">
        <f>[1]面积表!C64</f>
        <v>0</v>
      </c>
      <c r="G83" s="3134">
        <f>G82</f>
        <v>19</v>
      </c>
      <c r="H83" s="1402" t="s">
        <v>3490</v>
      </c>
      <c r="J83" s="1402" t="s">
        <v>3491</v>
      </c>
      <c r="K83">
        <f>D86*E86*365</f>
        <v>0</v>
      </c>
      <c r="M83" t="e">
        <f t="shared" si="29"/>
        <v>#DIV/0!</v>
      </c>
    </row>
    <row r="84" spans="2:14" customFormat="1" ht="13.5">
      <c r="B84" s="3135">
        <v>4</v>
      </c>
      <c r="C84" s="3140">
        <v>0.55000000000000004</v>
      </c>
      <c r="D84" s="3134">
        <f>[1]面积表!C73</f>
        <v>0</v>
      </c>
      <c r="E84" s="3134">
        <f>E83</f>
        <v>13.5</v>
      </c>
      <c r="F84" s="3134">
        <f>[1]面积表!C65</f>
        <v>0</v>
      </c>
      <c r="G84" s="3134">
        <f>G83</f>
        <v>19</v>
      </c>
      <c r="H84" s="1402" t="s">
        <v>3490</v>
      </c>
      <c r="K84">
        <f>SUM(K81:K83)</f>
        <v>0</v>
      </c>
      <c r="M84" t="e">
        <f>SUM(M81:M83)</f>
        <v>#DIV/0!</v>
      </c>
    </row>
    <row r="85" spans="2:14" customFormat="1" ht="13.5">
      <c r="B85" s="3135">
        <v>5</v>
      </c>
      <c r="C85" s="3134">
        <v>0.5</v>
      </c>
      <c r="D85" s="3134">
        <f>[1]面积表!C74</f>
        <v>0</v>
      </c>
      <c r="E85" s="3134">
        <f>E84</f>
        <v>13.5</v>
      </c>
      <c r="F85" s="3134">
        <f>[1]面积表!C66</f>
        <v>0</v>
      </c>
      <c r="G85" s="3134">
        <f>G84</f>
        <v>19</v>
      </c>
      <c r="H85" t="str">
        <f>H84</f>
        <v>实际办公</v>
      </c>
    </row>
    <row r="86" spans="2:14" customFormat="1" ht="13.5">
      <c r="B86" s="3135" t="s">
        <v>3492</v>
      </c>
      <c r="C86" s="3134">
        <v>0.35</v>
      </c>
      <c r="D86" s="3134">
        <f>[1]基准地价修正!D95</f>
        <v>0</v>
      </c>
      <c r="E86" s="3134">
        <f>$E$23*C86</f>
        <v>0</v>
      </c>
      <c r="F86" s="3134">
        <f>[1]基准地价修正!F95</f>
        <v>0</v>
      </c>
      <c r="G86" s="3134">
        <v>0</v>
      </c>
    </row>
    <row r="87" spans="2:14" customFormat="1" ht="13.5">
      <c r="B87" s="3135" t="s">
        <v>3493</v>
      </c>
      <c r="C87" s="3134">
        <v>0.3</v>
      </c>
      <c r="D87" s="3134">
        <v>0</v>
      </c>
      <c r="E87" s="3134">
        <v>0</v>
      </c>
      <c r="F87" s="3134">
        <v>0</v>
      </c>
      <c r="G87" s="3134">
        <v>0</v>
      </c>
    </row>
    <row r="88" spans="2:14" customFormat="1" ht="13.5">
      <c r="B88" s="3135"/>
      <c r="C88" s="3134"/>
      <c r="D88" s="3134">
        <f>SUM(D81:D87)</f>
        <v>0</v>
      </c>
      <c r="E88" s="3144" t="e">
        <f>SUMPRODUCT(E81:E86,D81:D86)/D88</f>
        <v>#DIV/0!</v>
      </c>
      <c r="F88" s="3134">
        <f>SUM(F81:F87)</f>
        <v>0</v>
      </c>
      <c r="G88" s="3144" t="e">
        <f>SUMPRODUCT(G81:G86,F81:F86)/F88</f>
        <v>#DIV/0!</v>
      </c>
      <c r="H88" s="3145" t="e">
        <f>(D88*E88+F88*G88)/(D88+F88)</f>
        <v>#DIV/0!</v>
      </c>
      <c r="J88" s="1402" t="s">
        <v>3482</v>
      </c>
      <c r="K88" s="1402" t="s">
        <v>2605</v>
      </c>
      <c r="N88" s="1402" t="s">
        <v>3494</v>
      </c>
    </row>
    <row r="89" spans="2:14" customFormat="1" ht="13.5">
      <c r="B89" s="3135"/>
      <c r="C89" s="3134"/>
      <c r="D89" s="3134"/>
      <c r="E89" s="3134"/>
      <c r="F89" s="3134"/>
      <c r="G89" s="3134"/>
      <c r="J89" s="3135" t="s">
        <v>2326</v>
      </c>
      <c r="K89" s="3135" t="s">
        <v>3485</v>
      </c>
      <c r="L89" s="3135" t="s">
        <v>3495</v>
      </c>
    </row>
    <row r="90" spans="2:14" customFormat="1" ht="13.5">
      <c r="J90" s="3134">
        <f t="shared" ref="J90:K94" si="30">F81</f>
        <v>0</v>
      </c>
      <c r="K90" s="3134">
        <f t="shared" si="30"/>
        <v>19</v>
      </c>
      <c r="L90" s="3134">
        <f>K90*J90*365</f>
        <v>0</v>
      </c>
      <c r="N90" t="e">
        <f>ROUND($M$22*L90/$K$26,0)</f>
        <v>#DIV/0!</v>
      </c>
    </row>
    <row r="91" spans="2:14" customFormat="1" ht="13.5">
      <c r="J91" s="3134">
        <f t="shared" si="30"/>
        <v>0</v>
      </c>
      <c r="K91" s="3134">
        <f t="shared" si="30"/>
        <v>19</v>
      </c>
      <c r="L91" s="3134">
        <f t="shared" ref="L91:L94" si="31">K91*J91*365</f>
        <v>0</v>
      </c>
      <c r="N91" t="e">
        <f t="shared" ref="N91:N94" si="32">ROUND($M$22*L91/$K$26,0)</f>
        <v>#DIV/0!</v>
      </c>
    </row>
    <row r="92" spans="2:14" customFormat="1" ht="13.5">
      <c r="J92" s="3134">
        <f t="shared" si="30"/>
        <v>0</v>
      </c>
      <c r="K92" s="3134">
        <f t="shared" si="30"/>
        <v>19</v>
      </c>
      <c r="L92" s="3134">
        <f t="shared" si="31"/>
        <v>0</v>
      </c>
      <c r="N92" t="e">
        <f t="shared" si="32"/>
        <v>#DIV/0!</v>
      </c>
    </row>
    <row r="93" spans="2:14" customFormat="1" ht="13.5">
      <c r="J93" s="3134">
        <f t="shared" si="30"/>
        <v>0</v>
      </c>
      <c r="K93" s="3134">
        <f t="shared" si="30"/>
        <v>19</v>
      </c>
      <c r="L93" s="3134">
        <f t="shared" si="31"/>
        <v>0</v>
      </c>
      <c r="N93" t="e">
        <f t="shared" si="32"/>
        <v>#DIV/0!</v>
      </c>
    </row>
    <row r="94" spans="2:14" customFormat="1" ht="13.5">
      <c r="J94" s="3134">
        <f t="shared" si="30"/>
        <v>0</v>
      </c>
      <c r="K94" s="3134">
        <f t="shared" si="30"/>
        <v>19</v>
      </c>
      <c r="L94" s="3134">
        <f t="shared" si="31"/>
        <v>0</v>
      </c>
      <c r="N94" t="e">
        <f t="shared" si="32"/>
        <v>#DIV/0!</v>
      </c>
    </row>
    <row r="95" spans="2:14" customFormat="1" ht="13.5">
      <c r="J95" s="3146">
        <f>SUM(J90:J94)</f>
        <v>0</v>
      </c>
      <c r="K95" s="3146"/>
      <c r="L95" s="3146">
        <f t="shared" ref="L95:N95" si="33">SUM(L90:L94)</f>
        <v>0</v>
      </c>
      <c r="N95" s="3146" t="e">
        <f t="shared" si="33"/>
        <v>#DIV/0!</v>
      </c>
    </row>
    <row r="96" spans="2:14" customFormat="1" ht="13.5"/>
    <row r="97" spans="10:14" customFormat="1" ht="13.5">
      <c r="J97" s="1402" t="str">
        <f>D79</f>
        <v>B座</v>
      </c>
    </row>
    <row r="98" spans="10:14" customFormat="1" ht="13.5">
      <c r="J98" s="3135" t="s">
        <v>2326</v>
      </c>
      <c r="K98" s="3135" t="s">
        <v>3485</v>
      </c>
      <c r="L98" s="3135" t="s">
        <v>3495</v>
      </c>
    </row>
    <row r="99" spans="10:14" customFormat="1" ht="13.5">
      <c r="J99" s="3134">
        <f>D81</f>
        <v>0</v>
      </c>
      <c r="K99" s="3134">
        <f>E81</f>
        <v>18</v>
      </c>
      <c r="L99" s="3134">
        <f>K99*J99*365</f>
        <v>0</v>
      </c>
      <c r="N99" t="e">
        <f t="shared" ref="N99:N103" si="34">ROUND($M$22*L99/$K$26,0)</f>
        <v>#DIV/0!</v>
      </c>
    </row>
    <row r="100" spans="10:14" customFormat="1" ht="13.5">
      <c r="J100" s="3134">
        <f t="shared" ref="J100:J103" si="35">D82</f>
        <v>0</v>
      </c>
      <c r="K100" s="3134">
        <f>E82</f>
        <v>14</v>
      </c>
      <c r="L100" s="3134">
        <f t="shared" ref="L100:L103" si="36">K100*J100*365</f>
        <v>0</v>
      </c>
      <c r="N100" t="e">
        <f t="shared" si="34"/>
        <v>#DIV/0!</v>
      </c>
    </row>
    <row r="101" spans="10:14" customFormat="1" ht="13.5">
      <c r="J101" s="3134">
        <f t="shared" si="35"/>
        <v>0</v>
      </c>
      <c r="K101" s="3134">
        <f>E83</f>
        <v>13.5</v>
      </c>
      <c r="L101" s="3134">
        <f t="shared" si="36"/>
        <v>0</v>
      </c>
      <c r="N101" t="e">
        <f t="shared" si="34"/>
        <v>#DIV/0!</v>
      </c>
    </row>
    <row r="102" spans="10:14" customFormat="1" ht="13.5">
      <c r="J102" s="3134">
        <f t="shared" si="35"/>
        <v>0</v>
      </c>
      <c r="K102" s="3134">
        <f>E84</f>
        <v>13.5</v>
      </c>
      <c r="L102" s="3134">
        <f t="shared" si="36"/>
        <v>0</v>
      </c>
      <c r="N102" t="e">
        <f t="shared" si="34"/>
        <v>#DIV/0!</v>
      </c>
    </row>
    <row r="103" spans="10:14" customFormat="1" ht="13.5">
      <c r="J103" s="3134">
        <f t="shared" si="35"/>
        <v>0</v>
      </c>
      <c r="K103" s="3134">
        <f>E85</f>
        <v>13.5</v>
      </c>
      <c r="L103" s="3134">
        <f t="shared" si="36"/>
        <v>0</v>
      </c>
      <c r="N103" t="e">
        <f t="shared" si="34"/>
        <v>#DIV/0!</v>
      </c>
    </row>
    <row r="104" spans="10:14" customFormat="1" ht="13.5">
      <c r="J104" s="3146">
        <f>SUM(J99:J103)</f>
        <v>0</v>
      </c>
      <c r="K104" s="3146"/>
      <c r="L104" s="3146">
        <f>SUM(L99:L103)</f>
        <v>0</v>
      </c>
      <c r="N104" s="3146" t="e">
        <f>SUM(N99:N103)</f>
        <v>#DIV/0!</v>
      </c>
    </row>
    <row r="105" spans="10:14" customFormat="1" ht="13.5"/>
    <row r="106" spans="10:14" customFormat="1" ht="13.5">
      <c r="J106" s="1402" t="s">
        <v>3496</v>
      </c>
      <c r="K106">
        <f>E86</f>
        <v>0</v>
      </c>
      <c r="L106">
        <f>K83</f>
        <v>0</v>
      </c>
      <c r="N106" t="e">
        <f>M80-N95-N104</f>
        <v>#DIV/0!</v>
      </c>
    </row>
    <row r="107" spans="10:14" customFormat="1" ht="13.5"/>
  </sheetData>
  <mergeCells count="1">
    <mergeCell ref="F18:H1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6" sqref="D4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面积表!E1</f>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3525</v>
      </c>
      <c r="J9" s="758"/>
      <c r="K9" s="1488" t="s">
        <v>3525</v>
      </c>
      <c r="L9" s="758"/>
      <c r="M9" s="1488" t="s">
        <v>3527</v>
      </c>
      <c r="N9" s="758"/>
      <c r="O9" s="1488" t="s">
        <v>3527</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21</v>
      </c>
      <c r="L10" s="758"/>
      <c r="M10" s="1494" t="s">
        <v>3331</v>
      </c>
      <c r="N10" s="758"/>
      <c r="O10" s="1494" t="s">
        <v>673</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t="s">
        <v>673</v>
      </c>
      <c r="J11" s="1500"/>
      <c r="K11" s="1499" t="s">
        <v>3526</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47" t="s">
        <v>3498</v>
      </c>
      <c r="D13" s="1510" t="s">
        <v>3524</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47" t="s">
        <v>3499</v>
      </c>
      <c r="D14" s="1510" t="s">
        <v>3524</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47" t="s">
        <v>3500</v>
      </c>
      <c r="D15" s="1510" t="s">
        <v>3524</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3147" t="s">
        <v>3501</v>
      </c>
      <c r="D16" s="1510" t="s">
        <v>3524</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3147" t="s">
        <v>3502</v>
      </c>
      <c r="D17" s="1510" t="s">
        <v>3524</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457"/>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457" t="s">
        <v>3503</v>
      </c>
      <c r="D19" s="1513" t="s">
        <v>3524</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t="s">
        <v>3504</v>
      </c>
      <c r="D20" s="1513" t="s">
        <v>3524</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t="s">
        <v>3505</v>
      </c>
      <c r="D21" s="1513" t="s">
        <v>3524</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t="s">
        <v>3506</v>
      </c>
      <c r="D22" s="1513" t="s">
        <v>3524</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t="s">
        <v>3507</v>
      </c>
      <c r="D23" s="1513" t="s">
        <v>3524</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t="s">
        <v>3508</v>
      </c>
      <c r="D24" s="1513" t="s">
        <v>3524</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t="s">
        <v>3509</v>
      </c>
      <c r="D25" s="1513" t="s">
        <v>3524</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t="s">
        <v>3510</v>
      </c>
      <c r="D26" s="1513" t="s">
        <v>3524</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t="s">
        <v>3511</v>
      </c>
      <c r="D27" s="1513" t="s">
        <v>3524</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t="s">
        <v>3512</v>
      </c>
      <c r="D28" s="1513" t="s">
        <v>3524</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t="s">
        <v>3513</v>
      </c>
      <c r="D29" s="1513" t="s">
        <v>3524</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t="s">
        <v>3514</v>
      </c>
      <c r="D30" s="1513" t="s">
        <v>3524</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t="s">
        <v>3515</v>
      </c>
      <c r="D31" s="1513" t="s">
        <v>3524</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t="s">
        <v>3516</v>
      </c>
      <c r="D32" s="1513" t="s">
        <v>3524</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t="s">
        <v>3517</v>
      </c>
      <c r="D33" s="1513" t="s">
        <v>3524</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t="s">
        <v>3518</v>
      </c>
      <c r="D34" s="1513" t="s">
        <v>3524</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t="s">
        <v>3519</v>
      </c>
      <c r="D35" s="1513" t="s">
        <v>3524</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t="s">
        <v>3520</v>
      </c>
      <c r="D36" s="1513" t="s">
        <v>3524</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t="s">
        <v>3521</v>
      </c>
      <c r="D37" s="1513" t="s">
        <v>3524</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t="s">
        <v>3522</v>
      </c>
      <c r="D39" s="1513" t="s">
        <v>3524</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t="s">
        <v>3493</v>
      </c>
      <c r="D40" s="1513" t="s">
        <v>3524</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t="s">
        <v>3523</v>
      </c>
      <c r="D41" s="1513" t="s">
        <v>3524</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N43" sqref="N4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84" t="s">
        <v>1131</v>
      </c>
      <c r="B2" s="3284"/>
      <c r="C2" s="3284"/>
      <c r="D2" s="745" t="s">
        <v>1107</v>
      </c>
      <c r="E2" s="1520" t="s">
        <v>1108</v>
      </c>
      <c r="F2" s="2433"/>
      <c r="G2" s="2426"/>
      <c r="H2" s="2427"/>
      <c r="I2" s="2142" t="s">
        <v>1132</v>
      </c>
      <c r="J2" s="2433"/>
      <c r="K2" s="2433"/>
      <c r="L2" s="2433"/>
      <c r="M2" s="2433"/>
      <c r="N2" s="2434"/>
      <c r="O2" s="2433"/>
      <c r="P2" s="2433"/>
    </row>
    <row r="3" spans="1:16" ht="15.75" thickBot="1">
      <c r="A3" s="3285" t="s">
        <v>1105</v>
      </c>
      <c r="B3" s="3285"/>
      <c r="C3" s="3285"/>
      <c r="D3" s="41">
        <f>'数据-基础表'!AY6</f>
        <v>10591.91</v>
      </c>
      <c r="E3" s="41">
        <f>'数据-基础表'!AZ5</f>
        <v>84373.10000000002</v>
      </c>
      <c r="F3" s="2433"/>
      <c r="G3" s="42"/>
      <c r="H3" s="43" t="s">
        <v>1106</v>
      </c>
      <c r="I3" s="799">
        <f>ROUND('数据-基础表'!B3/'数据-基础表'!A3,2)</f>
        <v>7.97</v>
      </c>
      <c r="J3" s="2433"/>
      <c r="K3" s="2433"/>
      <c r="L3" s="2433"/>
      <c r="M3" s="2433"/>
      <c r="N3" s="2434"/>
      <c r="O3" s="2433"/>
      <c r="P3" s="2433"/>
    </row>
    <row r="4" spans="1:16" ht="15">
      <c r="A4" s="3286"/>
      <c r="B4" s="3287"/>
      <c r="C4" s="3288"/>
      <c r="D4" s="1521" t="s">
        <v>1107</v>
      </c>
      <c r="E4" s="1522" t="s">
        <v>1108</v>
      </c>
      <c r="F4" s="2433"/>
      <c r="G4" s="2428" t="s">
        <v>1133</v>
      </c>
      <c r="H4" s="43" t="s">
        <v>1113</v>
      </c>
      <c r="I4" s="799">
        <f>ROUND(SUMIF('数据-基础表'!I9:AS9,"地上",'数据-基础表'!I5:AS5)/'数据-基础表'!A3,2)</f>
        <v>5.94</v>
      </c>
      <c r="J4" s="2433"/>
      <c r="K4" s="2433"/>
      <c r="L4" s="2433"/>
      <c r="M4" s="2433"/>
      <c r="N4" s="2434"/>
      <c r="O4" s="2433"/>
      <c r="P4" s="2433"/>
    </row>
    <row r="5" spans="1:16">
      <c r="A5" s="42" t="s">
        <v>1109</v>
      </c>
      <c r="B5" s="3289" t="s">
        <v>1110</v>
      </c>
      <c r="C5" s="3289"/>
      <c r="D5" s="43">
        <f>ROUND($D$3*E5/$E$3,2)</f>
        <v>0</v>
      </c>
      <c r="E5" s="44">
        <f>SUMIF('数据-基础表'!$11:$11,"住宅",'数据-基础表'!$5:$5)</f>
        <v>0</v>
      </c>
      <c r="F5" s="2433"/>
      <c r="G5" s="42"/>
      <c r="H5" s="43" t="s">
        <v>1106</v>
      </c>
      <c r="I5" s="799">
        <f>ROUND(E31/D31,2)</f>
        <v>7.97</v>
      </c>
      <c r="J5" s="2433"/>
      <c r="K5" s="2433"/>
      <c r="L5" s="2433"/>
      <c r="M5" s="2433"/>
      <c r="N5" s="2433"/>
      <c r="O5" s="2433"/>
      <c r="P5" s="2433"/>
    </row>
    <row r="6" spans="1:16" ht="15" thickBot="1">
      <c r="A6" s="1524"/>
      <c r="B6" s="3289" t="s">
        <v>1111</v>
      </c>
      <c r="C6" s="3289"/>
      <c r="D6" s="43">
        <f>ROUND($D$3*E6/$E$3,2)</f>
        <v>10591.91</v>
      </c>
      <c r="E6" s="44">
        <f>E3-E5</f>
        <v>84373.10000000002</v>
      </c>
      <c r="F6" s="2433"/>
      <c r="G6" s="1526" t="s">
        <v>1112</v>
      </c>
      <c r="H6" s="45" t="s">
        <v>1113</v>
      </c>
      <c r="I6" s="2429">
        <f>ROUND(F31/D31,2)</f>
        <v>5.94</v>
      </c>
      <c r="J6" s="2433"/>
      <c r="K6" s="2433"/>
      <c r="L6" s="2433"/>
      <c r="M6" s="2433"/>
      <c r="N6" s="2433"/>
      <c r="O6" s="2433"/>
      <c r="P6" s="2433"/>
    </row>
    <row r="7" spans="1:16" ht="15.75" thickBot="1">
      <c r="A7" s="3281"/>
      <c r="B7" s="3282"/>
      <c r="C7" s="3283"/>
      <c r="D7" s="1521" t="s">
        <v>1107</v>
      </c>
      <c r="E7" s="1525" t="s">
        <v>1114</v>
      </c>
      <c r="F7" s="2433"/>
      <c r="G7" s="2430" t="s">
        <v>1115</v>
      </c>
      <c r="H7" s="95"/>
      <c r="I7" s="2431">
        <f>I4</f>
        <v>5.94</v>
      </c>
      <c r="J7" s="2433"/>
      <c r="K7" s="2433"/>
      <c r="L7" s="2433"/>
      <c r="M7" s="2433"/>
      <c r="N7" s="2433"/>
      <c r="O7" s="2433"/>
      <c r="P7" s="2433"/>
    </row>
    <row r="8" spans="1:16">
      <c r="A8" s="42" t="s">
        <v>1116</v>
      </c>
      <c r="B8" s="45" t="s">
        <v>1117</v>
      </c>
      <c r="C8" s="43" t="s">
        <v>1118</v>
      </c>
      <c r="D8" s="43">
        <f t="shared" ref="D8:D15" si="0">ROUND($D$3*E8/$E$3,2)</f>
        <v>7895.56</v>
      </c>
      <c r="E8" s="46">
        <f>SUMIF('数据-基础表'!BB10:BK10,"地上",'数据-基础表'!BB5:BK5)</f>
        <v>62894.500000000007</v>
      </c>
      <c r="F8" s="2433"/>
      <c r="G8" s="2433"/>
      <c r="H8" s="2433"/>
      <c r="I8" s="2433"/>
      <c r="J8" s="2433"/>
      <c r="K8" s="2433"/>
      <c r="L8" s="2433"/>
      <c r="M8" s="2433"/>
      <c r="N8" s="2433"/>
      <c r="O8" s="2433"/>
      <c r="P8" s="2433"/>
    </row>
    <row r="9" spans="1:16">
      <c r="A9" s="1526"/>
      <c r="B9" s="1527"/>
      <c r="C9" s="43" t="s">
        <v>1119</v>
      </c>
      <c r="D9" s="43">
        <f t="shared" si="0"/>
        <v>0</v>
      </c>
      <c r="E9" s="47">
        <v>0</v>
      </c>
      <c r="F9" s="2433"/>
      <c r="G9" s="2433"/>
      <c r="H9" s="2433"/>
      <c r="I9" s="2433"/>
      <c r="J9" s="2433"/>
      <c r="K9" s="2433"/>
      <c r="L9" s="2433"/>
      <c r="M9" s="2433"/>
      <c r="N9" s="2433"/>
      <c r="O9" s="2433"/>
      <c r="P9" s="2433"/>
    </row>
    <row r="10" spans="1:16">
      <c r="A10" s="1526"/>
      <c r="B10" s="1527"/>
      <c r="C10" s="43" t="s">
        <v>1128</v>
      </c>
      <c r="D10" s="43">
        <f t="shared" si="0"/>
        <v>863.38</v>
      </c>
      <c r="E10" s="46">
        <f>SUMPRODUCT(('数据-基础表'!BB10:BK10="地下")*('数据-基础表'!BB11:BK11="商业")*('数据-基础表'!BB5:BK5))</f>
        <v>6877.51</v>
      </c>
      <c r="F10" s="2433"/>
      <c r="G10" s="2433"/>
      <c r="H10" s="2433"/>
      <c r="I10" s="2433"/>
      <c r="J10" s="2433"/>
      <c r="K10" s="2433"/>
      <c r="L10" s="2433"/>
      <c r="M10" s="2433"/>
      <c r="N10" s="2433"/>
      <c r="O10" s="2433"/>
      <c r="P10" s="2433"/>
    </row>
    <row r="11" spans="1:16">
      <c r="A11" s="1526"/>
      <c r="B11" s="1527"/>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6"/>
      <c r="B12" s="1527"/>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6"/>
      <c r="B13" s="1527"/>
      <c r="C13" s="43" t="s">
        <v>1122</v>
      </c>
      <c r="D13" s="43">
        <f t="shared" si="0"/>
        <v>1832.97</v>
      </c>
      <c r="E13" s="46">
        <f>SUMPRODUCT(('数据-基础表'!BB10:BK10="地下")*('数据-基础表'!BB11:BK11="车库")*('数据-基础表'!BB5:BK5))</f>
        <v>14601.09</v>
      </c>
      <c r="F13" s="2433"/>
      <c r="G13" s="2433"/>
      <c r="H13" s="2433"/>
      <c r="I13" s="2433"/>
      <c r="J13" s="2433"/>
      <c r="K13" s="2433"/>
      <c r="L13" s="2433"/>
      <c r="M13" s="2433"/>
      <c r="N13" s="2433"/>
      <c r="O13" s="2433"/>
      <c r="P13" s="2433"/>
    </row>
    <row r="14" spans="1:16">
      <c r="A14" s="1526"/>
      <c r="B14" s="1527"/>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4"/>
      <c r="B16" s="1527"/>
      <c r="C16" s="45" t="s">
        <v>1123</v>
      </c>
      <c r="D16" s="45">
        <f>SUM(D8:D15)</f>
        <v>10591.91</v>
      </c>
      <c r="E16" s="48">
        <f>SUM(E8:E15)</f>
        <v>84373.1</v>
      </c>
      <c r="F16" s="2433"/>
      <c r="G16" s="2433"/>
      <c r="H16" s="1528" t="s">
        <v>1135</v>
      </c>
      <c r="I16" s="1529"/>
      <c r="J16" s="1068"/>
      <c r="K16" s="3278" t="s">
        <v>1135</v>
      </c>
      <c r="L16" s="3279"/>
      <c r="M16" s="3279"/>
      <c r="N16" s="3279"/>
      <c r="O16" s="3279"/>
      <c r="P16" s="3280"/>
    </row>
    <row r="17" spans="1:19" ht="15">
      <c r="A17" s="1530" t="s">
        <v>1136</v>
      </c>
      <c r="B17" s="1531" t="s">
        <v>1137</v>
      </c>
      <c r="C17" s="1532" t="s">
        <v>1138</v>
      </c>
      <c r="D17" s="1533" t="s">
        <v>1126</v>
      </c>
      <c r="E17" s="1534" t="s">
        <v>1127</v>
      </c>
      <c r="F17" s="1535"/>
      <c r="G17" s="1536"/>
      <c r="H17" s="1537" t="s">
        <v>1139</v>
      </c>
      <c r="I17" s="1538" t="s">
        <v>1124</v>
      </c>
      <c r="J17" s="1068"/>
      <c r="K17" s="3275" t="s">
        <v>1140</v>
      </c>
      <c r="L17" s="3276"/>
      <c r="M17" s="3277"/>
      <c r="N17" s="3275" t="s">
        <v>1141</v>
      </c>
      <c r="O17" s="3276"/>
      <c r="P17" s="327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080" t="s">
        <v>2605</v>
      </c>
      <c r="D19" s="43">
        <f>ROUND($D$3*E19/$E$3,2)</f>
        <v>4327.3900000000003</v>
      </c>
      <c r="E19" s="51">
        <f t="shared" ref="E19:E26" si="1">SUM(F19:G19)</f>
        <v>34471.17</v>
      </c>
      <c r="F19" s="2551">
        <f>'数据-基础表'!I5</f>
        <v>27593.659999999996</v>
      </c>
      <c r="G19" s="1240">
        <f>'数据-基础表'!O5</f>
        <v>6877.51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080" t="s">
        <v>460</v>
      </c>
      <c r="D20" s="43">
        <f t="shared" ref="D20:D26" si="6">ROUND($D$3*E20/$E$3,2)</f>
        <v>4431.55</v>
      </c>
      <c r="E20" s="51">
        <f t="shared" si="1"/>
        <v>35300.840000000011</v>
      </c>
      <c r="F20" s="2551">
        <f>'数据-基础表'!K5</f>
        <v>35300.840000000011</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080" t="s">
        <v>3528</v>
      </c>
      <c r="D21" s="43">
        <f t="shared" si="6"/>
        <v>1832.97</v>
      </c>
      <c r="E21" s="51">
        <f t="shared" si="1"/>
        <v>14601.09</v>
      </c>
      <c r="F21" s="2551"/>
      <c r="G21" s="1240">
        <f>'数据-基础表'!M5</f>
        <v>14601.09</v>
      </c>
      <c r="H21" s="637">
        <f t="shared" si="7"/>
        <v>0</v>
      </c>
      <c r="I21" s="46">
        <f t="shared" si="2"/>
        <v>0</v>
      </c>
      <c r="J21" s="1068"/>
      <c r="K21" s="637">
        <f t="shared" si="3"/>
        <v>0</v>
      </c>
      <c r="L21" s="43">
        <f t="shared" si="4"/>
        <v>0</v>
      </c>
      <c r="M21" s="46">
        <f t="shared" si="8"/>
        <v>0</v>
      </c>
      <c r="N21" s="1547"/>
      <c r="O21" s="1548"/>
      <c r="P21" s="46">
        <f t="shared" si="9"/>
        <v>0</v>
      </c>
      <c r="R21" s="43">
        <f t="shared" si="5"/>
        <v>1832.97</v>
      </c>
      <c r="S21" s="51">
        <f t="shared" si="5"/>
        <v>14601.09</v>
      </c>
    </row>
    <row r="22" spans="1:19">
      <c r="A22" s="1546"/>
      <c r="B22" s="45" t="s">
        <v>1153</v>
      </c>
      <c r="C22" s="3081"/>
      <c r="D22" s="43">
        <f t="shared" si="6"/>
        <v>0</v>
      </c>
      <c r="E22" s="51">
        <f t="shared" si="1"/>
        <v>0</v>
      </c>
      <c r="F22" s="2552"/>
      <c r="G22" s="2553"/>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081"/>
      <c r="D23" s="43">
        <f>ROUND($D$3*E23/$E$3,2)</f>
        <v>0</v>
      </c>
      <c r="E23" s="51">
        <f>SUM(F23:G23)</f>
        <v>0</v>
      </c>
      <c r="F23" s="2552"/>
      <c r="G23" s="2553"/>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081"/>
      <c r="D24" s="43">
        <f>ROUND($D$3*E24/$E$3,2)</f>
        <v>0</v>
      </c>
      <c r="E24" s="51">
        <f>SUM(F24:G24)</f>
        <v>0</v>
      </c>
      <c r="F24" s="2552"/>
      <c r="G24" s="2553"/>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081"/>
      <c r="D25" s="43">
        <f t="shared" si="6"/>
        <v>0</v>
      </c>
      <c r="E25" s="51">
        <f t="shared" si="1"/>
        <v>0</v>
      </c>
      <c r="F25" s="2552"/>
      <c r="G25" s="2553"/>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10591.91</v>
      </c>
      <c r="E27" s="1070">
        <f>IF(SUM(E19:E26)='数据-基础表'!BA5,SUM(E19:E26),IF(F27="地上面积有误","面积有误","地下面积有误"))</f>
        <v>84373.1</v>
      </c>
      <c r="F27" s="1069">
        <f>IF(SUM(F19:F26)=E8,SUM(F19:F26),"地上面积有误")</f>
        <v>62894.500000000007</v>
      </c>
      <c r="G27" s="1071">
        <f>SUM(G19:G26)</f>
        <v>21478.6</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6"/>
      <c r="B29" s="45" t="s">
        <v>1155</v>
      </c>
      <c r="C29" s="1552"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6"/>
      <c r="B30" s="45"/>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75" thickBot="1">
      <c r="A31" s="1554"/>
      <c r="B31" s="96"/>
      <c r="C31" s="782" t="s">
        <v>1158</v>
      </c>
      <c r="D31" s="643">
        <f>D27+D30</f>
        <v>10591.91</v>
      </c>
      <c r="E31" s="643">
        <f>E27+E30</f>
        <v>84373.1</v>
      </c>
      <c r="F31" s="644">
        <f>F27+F30</f>
        <v>62894.500000000007</v>
      </c>
      <c r="G31" s="645">
        <f>G27+G30</f>
        <v>21478.6</v>
      </c>
      <c r="H31" s="2433"/>
      <c r="I31" s="2433"/>
      <c r="J31" s="2433"/>
      <c r="K31" s="2433"/>
      <c r="L31" s="2433"/>
      <c r="M31" s="2433"/>
      <c r="N31" s="2433"/>
      <c r="O31" s="2433"/>
      <c r="P31" s="2433"/>
    </row>
    <row r="32" spans="1:19">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18"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1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8" customFormat="1" ht="15.75" thickBot="1">
      <c r="A2" s="1559" t="s">
        <v>1161</v>
      </c>
      <c r="B2" s="981">
        <f>项目基本情况!D3</f>
        <v>45635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3529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19.739999999999998</v>
      </c>
      <c r="G6" s="62">
        <f>IF(ISERROR(ROUND(POWER(1+H6,D6-F6)*(POWER(1+H6,F6)-1)/(POWER(1+H6,D6)-1),3)),0,ROUND(POWER(1+H6,D6-F6)*(POWER(1+H6,F6)-1)/(POWER(1+H6,D6)-1),3))</f>
        <v>0.72099999999999997</v>
      </c>
      <c r="H6" s="691">
        <v>0.05</v>
      </c>
      <c r="I6" s="691">
        <v>5.5E-2</v>
      </c>
      <c r="J6" s="63">
        <v>7.0000000000000007E-2</v>
      </c>
      <c r="K6" s="967">
        <f>SUMIF('数据-汇总表'!C$19:C$33,A6,'数据-汇总表'!E$19:E$33)</f>
        <v>34471.17</v>
      </c>
      <c r="L6" s="692">
        <v>7500</v>
      </c>
      <c r="M6" s="64">
        <f t="shared" ref="M6:M14" si="0">ROUND(K6*L6/10000,0)</f>
        <v>25853</v>
      </c>
      <c r="N6" s="690">
        <v>1</v>
      </c>
      <c r="O6" s="64" t="str">
        <f>IF($N$5="成新度","——",ROUND(M6*N6,0))</f>
        <v>——</v>
      </c>
      <c r="P6" s="65" t="str">
        <f>IF($N$5="成新度","——",M6-O6)</f>
        <v>——</v>
      </c>
      <c r="Q6" s="693">
        <v>0.25</v>
      </c>
      <c r="R6" s="66">
        <f ca="1">SUMIF('数据-汇总表'!C$19:C$33,A6,'数据-汇总表'!R$19:R$27)</f>
        <v>4327.3900000000003</v>
      </c>
      <c r="S6" s="49">
        <f>IF('数据-汇总表'!$I$17="按面积比例",SUMIF('数据-汇总表'!C$19:C$33,A6,'数据-汇总表'!K$19:K$33),SUMIF('数据-汇总表'!C$19:C$33,A6,'数据-汇总表'!N$19:N$33))</f>
        <v>0</v>
      </c>
      <c r="T6" s="1089">
        <f>ROUND($L$14*S6/10000,0)</f>
        <v>0</v>
      </c>
      <c r="U6" s="3167">
        <v>12</v>
      </c>
      <c r="V6" s="3168">
        <v>0.03</v>
      </c>
      <c r="W6" s="68">
        <v>0.1</v>
      </c>
      <c r="X6" s="976"/>
      <c r="Y6" s="68">
        <f>N6</f>
        <v>1</v>
      </c>
      <c r="Z6" s="69"/>
      <c r="AA6" s="63"/>
      <c r="AB6" s="63"/>
      <c r="AC6" s="976"/>
      <c r="AD6" s="70"/>
      <c r="AE6" s="977">
        <f ca="1">IF(AN6="",0,SUMIF(INDIRECT("'"&amp;AN6&amp;"'"&amp;"!E:E"),$AE$5,INDIRECT("'"&amp;AN6&amp;"'"&amp;"!F:F")))</f>
        <v>19.739999999999998</v>
      </c>
      <c r="AF6" s="74"/>
      <c r="AG6" s="130">
        <f>IF(AF6="",0,AE6-AF6)</f>
        <v>0</v>
      </c>
      <c r="AH6" s="71"/>
      <c r="AI6" s="73">
        <v>365</v>
      </c>
      <c r="AJ6" s="74"/>
      <c r="AK6" s="75">
        <v>3.0000000000000001E-3</v>
      </c>
      <c r="AL6" s="76">
        <v>1E-3</v>
      </c>
      <c r="AM6" s="77">
        <v>5.0000000000000001E-3</v>
      </c>
      <c r="AN6" s="1586" t="s">
        <v>3530</v>
      </c>
      <c r="AO6" s="50">
        <f ca="1">SUMIF(INDIRECT("'"&amp;AN6&amp;"'"&amp;"!A:A"),"总价",INDIRECT("'"&amp;AN6&amp;"'"&amp;"!B:B"))</f>
        <v>173834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29.75</v>
      </c>
      <c r="G7" s="62">
        <f t="shared" ref="G7:G11" si="2">IF(ISERROR(ROUND(POWER(1+H7,D7-F7)*(POWER(1+H7,F7)-1)/(POWER(1+H7,D7)-1),3)),0,ROUND(POWER(1+H7,D7-F7)*(POWER(1+H7,F7)-1)/(POWER(1+H7,D7)-1),3))</f>
        <v>0.83899999999999997</v>
      </c>
      <c r="H7" s="691">
        <v>0.05</v>
      </c>
      <c r="I7" s="691">
        <v>5.5E-2</v>
      </c>
      <c r="J7" s="63">
        <v>7.0000000000000007E-2</v>
      </c>
      <c r="K7" s="967">
        <f>SUMIF('数据-汇总表'!C$19:C$33,A7,'数据-汇总表'!E$19:E$33)</f>
        <v>35300.840000000011</v>
      </c>
      <c r="L7" s="692">
        <f>L6</f>
        <v>7500</v>
      </c>
      <c r="M7" s="64">
        <f t="shared" si="0"/>
        <v>26476</v>
      </c>
      <c r="N7" s="690">
        <f>N6</f>
        <v>1</v>
      </c>
      <c r="O7" s="64" t="str">
        <f t="shared" ref="O7:O14" si="3">IF($N$5="成新度","——",ROUND(M7*N7,0))</f>
        <v>——</v>
      </c>
      <c r="P7" s="65" t="str">
        <f t="shared" ref="P7:P14" si="4">IF($N$5="成新度","——",M7-O7)</f>
        <v>——</v>
      </c>
      <c r="Q7" s="693">
        <v>0.2</v>
      </c>
      <c r="R7" s="66">
        <f ca="1">SUMIF('数据-汇总表'!C$19:C$33,A7,'数据-汇总表'!R$19:R$27)</f>
        <v>4431.55</v>
      </c>
      <c r="S7" s="49">
        <f>IF('数据-汇总表'!$I$17="按面积比例",SUMIF('数据-汇总表'!C$19:C$33,A7,'数据-汇总表'!K$19:K$33),SUMIF('数据-汇总表'!C$19:C$33,A7,'数据-汇总表'!N$19:N$33))</f>
        <v>0</v>
      </c>
      <c r="T7" s="1089">
        <f t="shared" ref="T7:T13" si="5">ROUND($L$14*S7/10000,0)</f>
        <v>0</v>
      </c>
      <c r="U7" s="3167">
        <v>13</v>
      </c>
      <c r="V7" s="3168">
        <v>0.03</v>
      </c>
      <c r="W7" s="68">
        <v>0.1</v>
      </c>
      <c r="X7" s="976"/>
      <c r="Y7" s="68">
        <f t="shared" ref="Y7:Y8" si="6">N7</f>
        <v>1</v>
      </c>
      <c r="Z7" s="69"/>
      <c r="AA7" s="63"/>
      <c r="AB7" s="63"/>
      <c r="AC7" s="976"/>
      <c r="AD7" s="70"/>
      <c r="AE7" s="977">
        <f t="shared" ref="AE7:AE13" ca="1" si="7">IF(AN7="",0,SUMIF(INDIRECT("'"&amp;AN7&amp;"'"&amp;"!E:E"),$AE$5,INDIRECT("'"&amp;AN7&amp;"'"&amp;"!F:F")))</f>
        <v>29.75</v>
      </c>
      <c r="AF7" s="74"/>
      <c r="AG7" s="130">
        <f t="shared" ref="AG7:AG13" si="8">IF(AF7="",0,AE7-AF7)</f>
        <v>0</v>
      </c>
      <c r="AH7" s="71"/>
      <c r="AI7" s="73">
        <v>365</v>
      </c>
      <c r="AJ7" s="74"/>
      <c r="AK7" s="75">
        <f>AK6</f>
        <v>3.0000000000000001E-3</v>
      </c>
      <c r="AL7" s="76">
        <f>AL6</f>
        <v>1E-3</v>
      </c>
      <c r="AM7" s="77">
        <v>5.0000000000000001E-3</v>
      </c>
      <c r="AN7" s="1586" t="s">
        <v>3531</v>
      </c>
      <c r="AO7" s="50">
        <f t="shared" ref="AO7:AO13" ca="1" si="9">SUMIF(INDIRECT("'"&amp;AN7&amp;"'"&amp;"!A:A"),"总价",INDIRECT("'"&amp;AN7&amp;"'"&amp;"!B:B"))</f>
        <v>253604</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3331</v>
      </c>
      <c r="D8" s="802">
        <f>SUMIF(项目基本情况!C$12:I$12,C8,项目基本情况!C$14:I$14)</f>
        <v>50</v>
      </c>
      <c r="E8" s="801">
        <f>IF(B8="","",SUMIF(项目基本情况!C$12:I$12,C8,项目基本情况!C$13:I$13))</f>
        <v>56495</v>
      </c>
      <c r="F8" s="61">
        <f>SUMIF(项目基本情况!C$12:I$12,C8,项目基本情况!C$15:I$15)</f>
        <v>29.75</v>
      </c>
      <c r="G8" s="62">
        <f t="shared" si="2"/>
        <v>0.82099999999999995</v>
      </c>
      <c r="H8" s="691">
        <v>4.4999999999999998E-2</v>
      </c>
      <c r="I8" s="691">
        <v>0.05</v>
      </c>
      <c r="J8" s="63">
        <v>7.0000000000000007E-2</v>
      </c>
      <c r="K8" s="967">
        <f>SUMIF('数据-汇总表'!C$19:C$33,A8,'数据-汇总表'!E$19:E$33)</f>
        <v>14601.09</v>
      </c>
      <c r="L8" s="692">
        <f>L6</f>
        <v>7500</v>
      </c>
      <c r="M8" s="64">
        <f>ROUND(K8*L8/10000,0)</f>
        <v>10951</v>
      </c>
      <c r="N8" s="690">
        <f>N7</f>
        <v>1</v>
      </c>
      <c r="O8" s="64" t="str">
        <f t="shared" si="3"/>
        <v>——</v>
      </c>
      <c r="P8" s="65" t="str">
        <f t="shared" si="4"/>
        <v>——</v>
      </c>
      <c r="Q8" s="693">
        <v>0.1</v>
      </c>
      <c r="R8" s="66">
        <f ca="1">SUMIF('数据-汇总表'!C$19:C$33,A8,'数据-汇总表'!R$19:R$27)</f>
        <v>1832.97</v>
      </c>
      <c r="S8" s="49">
        <f>IF('数据-汇总表'!$I$17="按面积比例",SUMIF('数据-汇总表'!C$19:C$33,A8,'数据-汇总表'!K$19:K$33),SUMIF('数据-汇总表'!C$19:C$33,A8,'数据-汇总表'!N$19:N$33))</f>
        <v>0</v>
      </c>
      <c r="T8" s="1089">
        <f t="shared" si="5"/>
        <v>0</v>
      </c>
      <c r="U8" s="3092">
        <v>2000</v>
      </c>
      <c r="V8" s="68">
        <v>2.5000000000000001E-2</v>
      </c>
      <c r="W8" s="68">
        <v>0.1</v>
      </c>
      <c r="X8" s="976"/>
      <c r="Y8" s="68">
        <f t="shared" si="6"/>
        <v>1</v>
      </c>
      <c r="Z8" s="69"/>
      <c r="AA8" s="63"/>
      <c r="AB8" s="63"/>
      <c r="AC8" s="976"/>
      <c r="AD8" s="70"/>
      <c r="AE8" s="977">
        <f t="shared" ca="1" si="7"/>
        <v>29.75</v>
      </c>
      <c r="AF8" s="74"/>
      <c r="AG8" s="130">
        <f t="shared" si="8"/>
        <v>0</v>
      </c>
      <c r="AH8" s="694">
        <v>287</v>
      </c>
      <c r="AI8" s="73">
        <v>12</v>
      </c>
      <c r="AJ8" s="74"/>
      <c r="AK8" s="75">
        <v>2E-3</v>
      </c>
      <c r="AL8" s="76">
        <f>AL7</f>
        <v>1E-3</v>
      </c>
      <c r="AM8" s="77">
        <v>5.0000000000000001E-3</v>
      </c>
      <c r="AN8" s="1586" t="s">
        <v>3532</v>
      </c>
      <c r="AO8" s="50">
        <f t="shared" ca="1" si="9"/>
        <v>10343</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091"/>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91"/>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91"/>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91"/>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3"/>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0.78800000000000003</v>
      </c>
      <c r="H16" s="84">
        <f>ROUND(SUMPRODUCT(H6:H13,K6:K13)/SUMPRODUCT((H6:H13&gt;0)*(K6:K13)),3)</f>
        <v>4.9000000000000002E-2</v>
      </c>
      <c r="I16" s="85"/>
      <c r="J16" s="85"/>
      <c r="K16" s="86">
        <f>SUM(K6:K15)</f>
        <v>84373.1</v>
      </c>
      <c r="L16" s="87">
        <f>ROUND(M16*10000/SUM(K6:K14),0)</f>
        <v>7500</v>
      </c>
      <c r="M16" s="87">
        <f>SUM(M6:M14)</f>
        <v>63280</v>
      </c>
      <c r="N16" s="88">
        <f>ROUND(SUMPRODUCT(M6:M14,N6:N14)/M16,3)</f>
        <v>1</v>
      </c>
      <c r="O16" s="87">
        <f>SUM(O6:O14)</f>
        <v>0</v>
      </c>
      <c r="P16" s="87">
        <f>SUM(P6:P14)</f>
        <v>0</v>
      </c>
      <c r="Q16" s="89">
        <f>ROUND(SUMPRODUCT(Q6:Q13,K6:K13)/SUMPRODUCT((Q6:Q13&gt;0)*(K6:K13)),2)</f>
        <v>0.2</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98">
        <v>3</v>
      </c>
      <c r="C20" s="2555" t="s">
        <v>2297</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98">
        <v>3</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9">
        <f>B19+B20</f>
        <v>3</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9">
        <f>B19+B21</f>
        <v>3</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1">
        <v>160</v>
      </c>
      <c r="C27" s="2556" t="s">
        <v>2301</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3">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5">
        <f>[1]成本法!C10</f>
        <v>1687</v>
      </c>
      <c r="C29" s="2557" t="s">
        <v>2290</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8">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4">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9">
        <v>0</v>
      </c>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40">
        <v>0.08</v>
      </c>
      <c r="C33" s="2558" t="s">
        <v>3374</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6">
        <v>0</v>
      </c>
      <c r="C34" s="2558" t="s">
        <v>2291</v>
      </c>
      <c r="D34" s="2453" t="s">
        <v>2298</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3">
        <f>B30</f>
        <v>200</v>
      </c>
      <c r="C35" s="2558" t="s">
        <v>2292</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7">
        <v>0.02</v>
      </c>
      <c r="C36" s="2558" t="s">
        <v>3375</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8">
        <v>0.03</v>
      </c>
      <c r="C37" s="2558" t="s">
        <v>2293</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6">
        <v>0.03</v>
      </c>
      <c r="C38" s="2558" t="s">
        <v>2293</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9">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2308</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11">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2">
        <v>7.0000000000000007E-2</v>
      </c>
      <c r="C44" s="2558" t="s">
        <v>2302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10">
        <v>0.03</v>
      </c>
      <c r="C45" s="2557" t="s">
        <v>2294</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10">
        <v>0.02</v>
      </c>
      <c r="C46" s="2557" t="s">
        <v>2295</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3">
        <v>0</v>
      </c>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4">
        <v>0.03</v>
      </c>
      <c r="C48" s="2557" t="s">
        <v>2294</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10">
        <v>5.0000000000000001E-4</v>
      </c>
      <c r="C49" s="2557" t="s">
        <v>2296</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7">
        <f>SUMIF(A54:A63,B53,B54:B63)</f>
        <v>24</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184</v>
      </c>
      <c r="C53" s="2434" t="s">
        <v>1246</v>
      </c>
      <c r="D53" s="2559" t="s">
        <v>2300</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290" t="s">
        <v>2282</v>
      </c>
      <c r="B1" s="3291"/>
      <c r="C1" s="3291"/>
      <c r="D1" s="3291"/>
      <c r="E1" s="3291"/>
      <c r="F1" s="3291"/>
      <c r="G1" s="329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3148"/>
      <c r="D3" s="2261"/>
      <c r="E3" s="2244" t="s">
        <v>2280</v>
      </c>
      <c r="F3" s="2262" t="s">
        <v>2253</v>
      </c>
      <c r="G3" s="2263" t="s">
        <v>2281</v>
      </c>
      <c r="H3" s="748"/>
      <c r="I3" s="748"/>
      <c r="J3" s="748"/>
      <c r="K3" s="748"/>
      <c r="L3" s="748"/>
      <c r="M3" s="748"/>
      <c r="N3" s="748"/>
      <c r="O3" s="748"/>
      <c r="P3" s="748"/>
      <c r="Q3" s="748"/>
    </row>
    <row r="4" spans="1:29" ht="36">
      <c r="A4" s="2244"/>
      <c r="B4" s="315" t="s">
        <v>2254</v>
      </c>
      <c r="C4" s="3149" t="s">
        <v>3558</v>
      </c>
      <c r="D4" s="2261"/>
      <c r="E4" s="2264"/>
      <c r="F4" s="1278" t="s">
        <v>2255</v>
      </c>
      <c r="G4" s="2265" t="s">
        <v>2256</v>
      </c>
      <c r="H4" s="748"/>
      <c r="I4" s="748"/>
      <c r="J4" s="748"/>
      <c r="K4" s="748"/>
      <c r="L4" s="748"/>
      <c r="M4" s="748"/>
      <c r="N4" s="748"/>
      <c r="O4" s="748"/>
      <c r="P4" s="748"/>
      <c r="Q4" s="748"/>
    </row>
    <row r="5" spans="1:29" ht="24">
      <c r="A5" s="2244"/>
      <c r="B5" s="315" t="s">
        <v>2257</v>
      </c>
      <c r="C5" s="3150" t="s">
        <v>3558</v>
      </c>
      <c r="D5" s="2261"/>
      <c r="E5" s="2264"/>
      <c r="F5" s="315" t="s">
        <v>2258</v>
      </c>
      <c r="G5" s="2265" t="s">
        <v>2259</v>
      </c>
      <c r="H5" s="748"/>
      <c r="I5" s="748"/>
      <c r="J5" s="748"/>
      <c r="K5" s="748"/>
      <c r="L5" s="748"/>
      <c r="M5" s="748"/>
      <c r="N5" s="748"/>
      <c r="O5" s="748"/>
      <c r="P5" s="748"/>
      <c r="Q5" s="748"/>
    </row>
    <row r="6" spans="1:29">
      <c r="A6" s="2244"/>
      <c r="B6" s="315" t="s">
        <v>2260</v>
      </c>
      <c r="C6" s="3150" t="s">
        <v>3558</v>
      </c>
      <c r="D6" s="2261"/>
      <c r="E6" s="2264"/>
      <c r="F6" s="315" t="s">
        <v>2261</v>
      </c>
      <c r="G6" s="2265" t="s">
        <v>2262</v>
      </c>
      <c r="H6" s="748"/>
      <c r="I6" s="748"/>
      <c r="J6" s="748"/>
      <c r="K6" s="748"/>
      <c r="L6" s="748"/>
      <c r="M6" s="748"/>
      <c r="N6" s="748"/>
      <c r="O6" s="748"/>
      <c r="P6" s="748"/>
      <c r="Q6" s="748"/>
    </row>
    <row r="7" spans="1:29" ht="24.75" thickBot="1">
      <c r="A7" s="2244"/>
      <c r="B7" s="315" t="s">
        <v>2258</v>
      </c>
      <c r="C7" s="3150" t="s">
        <v>3558</v>
      </c>
      <c r="D7" s="2241"/>
      <c r="E7" s="2266"/>
      <c r="F7" s="2267" t="s">
        <v>2263</v>
      </c>
      <c r="G7" s="2268" t="s">
        <v>2264</v>
      </c>
      <c r="H7" s="748"/>
      <c r="I7" s="748"/>
      <c r="J7" s="748"/>
      <c r="K7" s="748"/>
      <c r="L7" s="748"/>
      <c r="M7" s="748"/>
      <c r="N7" s="748"/>
      <c r="O7" s="748"/>
      <c r="P7" s="748"/>
      <c r="Q7" s="748"/>
    </row>
    <row r="8" spans="1:29">
      <c r="A8" s="2244"/>
      <c r="B8" s="315" t="s">
        <v>2261</v>
      </c>
      <c r="C8" s="3150" t="s">
        <v>3559</v>
      </c>
      <c r="D8" s="2241"/>
      <c r="E8" s="2241"/>
      <c r="F8" s="121"/>
      <c r="G8" s="121"/>
      <c r="H8" s="748"/>
      <c r="I8" s="748"/>
      <c r="J8" s="748"/>
      <c r="K8" s="748"/>
      <c r="L8" s="748"/>
      <c r="M8" s="748"/>
      <c r="N8" s="748"/>
      <c r="O8" s="748"/>
      <c r="P8" s="748"/>
      <c r="Q8" s="748"/>
    </row>
    <row r="9" spans="1:29">
      <c r="A9" s="2244"/>
      <c r="B9" s="315" t="s">
        <v>2265</v>
      </c>
      <c r="C9" s="3150" t="s">
        <v>3558</v>
      </c>
      <c r="D9" s="2261"/>
      <c r="E9" s="2241"/>
      <c r="F9" s="121"/>
      <c r="G9" s="121"/>
      <c r="H9" s="748"/>
      <c r="I9" s="748"/>
      <c r="J9" s="748"/>
      <c r="K9" s="748"/>
      <c r="L9" s="748"/>
      <c r="M9" s="748"/>
      <c r="N9" s="748"/>
      <c r="O9" s="748"/>
      <c r="P9" s="748"/>
      <c r="Q9" s="748"/>
    </row>
    <row r="10" spans="1:29" ht="15" thickBot="1">
      <c r="A10" s="2245"/>
      <c r="B10" s="2269" t="s">
        <v>2266</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2283</v>
      </c>
      <c r="B13" s="2274"/>
      <c r="C13" s="2274"/>
      <c r="D13" s="2273"/>
      <c r="E13" s="2274"/>
      <c r="F13" s="2274"/>
      <c r="G13" s="2274"/>
    </row>
    <row r="14" spans="1:29" ht="15" thickBot="1">
      <c r="A14" s="2279"/>
      <c r="B14" s="2279"/>
      <c r="C14" s="2280" t="s">
        <v>2267</v>
      </c>
      <c r="D14" s="2261"/>
      <c r="E14" s="2281"/>
      <c r="F14" s="2281"/>
      <c r="G14" s="2258" t="s">
        <v>2268</v>
      </c>
    </row>
    <row r="15" spans="1:29" ht="25.5">
      <c r="A15" s="2246" t="s">
        <v>2269</v>
      </c>
      <c r="B15" s="2282" t="s">
        <v>2252</v>
      </c>
      <c r="C15" s="2283">
        <f>C3</f>
        <v>0</v>
      </c>
      <c r="D15" s="2261"/>
      <c r="E15" s="2247" t="s">
        <v>2270</v>
      </c>
      <c r="F15" s="2282" t="s">
        <v>2271</v>
      </c>
      <c r="G15" s="2284" t="str">
        <f>G3</f>
        <v>估价对象位于XX开发区，园区建设成熟度XX，产业集聚程度XX</v>
      </c>
    </row>
    <row r="16" spans="1:29" ht="38.25">
      <c r="A16" s="2248"/>
      <c r="B16" s="2285" t="s">
        <v>2254</v>
      </c>
      <c r="C16" s="2286" t="str">
        <f>C4</f>
        <v>较好</v>
      </c>
      <c r="D16" s="2261"/>
      <c r="E16" s="2249"/>
      <c r="F16" s="2287" t="s">
        <v>2255</v>
      </c>
      <c r="G16" s="2288" t="str">
        <f>G4</f>
        <v>估价对象周边道路状况、公共交通通达情况、停车便捷程度，综合评价交通便捷度较好</v>
      </c>
    </row>
    <row r="17" spans="1:17">
      <c r="A17" s="2248"/>
      <c r="B17" s="2285" t="s">
        <v>2257</v>
      </c>
      <c r="C17" s="2286" t="str">
        <f>C5</f>
        <v>较好</v>
      </c>
      <c r="D17" s="2241"/>
      <c r="E17" s="2249"/>
      <c r="F17" s="2287" t="s">
        <v>2272</v>
      </c>
      <c r="G17" s="2289"/>
    </row>
    <row r="18" spans="1:17" ht="25.5">
      <c r="A18" s="2248"/>
      <c r="B18" s="2287" t="s">
        <v>2260</v>
      </c>
      <c r="C18" s="2288" t="str">
        <f>C6</f>
        <v>较好</v>
      </c>
      <c r="D18" s="2241"/>
      <c r="E18" s="2249"/>
      <c r="F18" s="2287" t="s">
        <v>2263</v>
      </c>
      <c r="G18" s="2288" t="str">
        <f>G7</f>
        <v>该园区内是否有污染型企业，绿化情况，卫生条件，整体环境状况判断</v>
      </c>
    </row>
    <row r="19" spans="1:17" ht="25.5">
      <c r="A19" s="2248"/>
      <c r="B19" s="2287" t="s">
        <v>2273</v>
      </c>
      <c r="C19" s="2289"/>
      <c r="D19" s="2261"/>
      <c r="E19" s="2249"/>
      <c r="F19" s="315" t="s">
        <v>2258</v>
      </c>
      <c r="G19" s="2288" t="str">
        <f>G5</f>
        <v>估价对象所在区域公共配套设施齐备情况</v>
      </c>
    </row>
    <row r="20" spans="1:17">
      <c r="A20" s="2248"/>
      <c r="B20" s="2287" t="s">
        <v>2274</v>
      </c>
      <c r="C20" s="2286" t="str">
        <f>C9</f>
        <v>较好</v>
      </c>
      <c r="D20" s="2241"/>
      <c r="E20" s="2249"/>
      <c r="F20" s="315" t="s">
        <v>2261</v>
      </c>
      <c r="G20" s="2288" t="str">
        <f>G6</f>
        <v>估价对象所在区域基础设施水平</v>
      </c>
    </row>
    <row r="21" spans="1:17">
      <c r="A21" s="2248"/>
      <c r="B21" s="315" t="s">
        <v>2258</v>
      </c>
      <c r="C21" s="2288" t="str">
        <f>C7</f>
        <v>较好</v>
      </c>
      <c r="D21" s="2261"/>
      <c r="E21" s="2249"/>
      <c r="F21" s="2287" t="s">
        <v>2275</v>
      </c>
      <c r="G21" s="2290"/>
    </row>
    <row r="22" spans="1:17" ht="13.5" customHeight="1">
      <c r="A22" s="2248"/>
      <c r="B22" s="315" t="s">
        <v>2261</v>
      </c>
      <c r="C22" s="2288" t="str">
        <f>C8</f>
        <v>七通</v>
      </c>
      <c r="D22" s="2261"/>
      <c r="E22" s="2249"/>
      <c r="F22" s="2287" t="s">
        <v>2266</v>
      </c>
      <c r="G22" s="2289"/>
    </row>
    <row r="23" spans="1:17" s="748" customFormat="1" ht="15" thickBot="1">
      <c r="A23" s="2248"/>
      <c r="B23" s="2287" t="s">
        <v>2275</v>
      </c>
      <c r="C23" s="2290"/>
      <c r="D23" s="1611"/>
      <c r="E23" s="2250"/>
      <c r="F23" s="2291" t="s">
        <v>2276</v>
      </c>
      <c r="G23" s="2292"/>
      <c r="H23" s="2271"/>
      <c r="I23" s="2271"/>
      <c r="J23" s="2271"/>
      <c r="K23" s="2271"/>
      <c r="L23" s="2271"/>
      <c r="M23" s="2271"/>
      <c r="N23" s="2271"/>
      <c r="O23" s="2271"/>
      <c r="P23" s="2271"/>
      <c r="Q23" s="2271"/>
    </row>
    <row r="24" spans="1:17" s="748" customFormat="1" ht="15" thickBot="1">
      <c r="A24" s="2251"/>
      <c r="B24" s="2291" t="s">
        <v>2277</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55"/>
      <c r="D1" s="2455"/>
      <c r="E1" s="2455"/>
      <c r="F1" s="2455"/>
      <c r="G1" s="2456"/>
      <c r="H1" s="2456"/>
      <c r="I1" s="2456"/>
      <c r="J1" s="2456"/>
      <c r="K1" s="2456"/>
    </row>
    <row r="2" spans="1:11" ht="16.5">
      <c r="A2" s="2294" t="s">
        <v>653</v>
      </c>
      <c r="B2" s="2294">
        <f>SUM(C14:C23)</f>
        <v>10591.91</v>
      </c>
      <c r="C2" s="2455"/>
      <c r="D2" s="2455"/>
      <c r="E2" s="2455"/>
      <c r="F2" s="2455"/>
      <c r="G2" s="2456"/>
      <c r="H2" s="2456"/>
      <c r="I2" s="2456"/>
      <c r="J2" s="2456"/>
      <c r="K2" s="2456"/>
    </row>
    <row r="3" spans="1:11" ht="16.5">
      <c r="A3" s="2294" t="s">
        <v>662</v>
      </c>
      <c r="B3" s="2296">
        <f>项目基本情况!D3</f>
        <v>45635</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555627</v>
      </c>
      <c r="C5" s="2294">
        <f ca="1">IF(B5=D14,结果表!H102,ROUND(B5*10000/$B$1,0))</f>
        <v>0</v>
      </c>
      <c r="D5" s="2294">
        <f ca="1">ROUND(B5*10000/$B$2,0)</f>
        <v>524577</v>
      </c>
      <c r="E5" s="2455"/>
      <c r="F5" s="2456"/>
      <c r="G5" s="2456"/>
      <c r="H5" s="2456"/>
      <c r="I5" s="2456"/>
      <c r="J5" s="2456"/>
      <c r="K5" s="2456"/>
    </row>
    <row r="6" spans="1:11" ht="16.5">
      <c r="A6" s="2294" t="s">
        <v>656</v>
      </c>
      <c r="B6" s="2294">
        <f ca="1">SUM(G14:G23)</f>
        <v>555627</v>
      </c>
      <c r="C6" s="2294">
        <f ca="1">IF(B6=G14,结果表!H108,ROUND(B6*10000/$B$1,0))</f>
        <v>0</v>
      </c>
      <c r="D6" s="2294">
        <f ca="1">ROUND(B6*10000/$B$2,0)</f>
        <v>524577</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41"/>
      <c r="C9" s="2455"/>
      <c r="D9" s="2455"/>
      <c r="E9" s="2455"/>
      <c r="F9" s="2456"/>
      <c r="G9" s="2456"/>
      <c r="H9" s="2456"/>
      <c r="I9" s="2456"/>
      <c r="J9" s="2456"/>
      <c r="K9" s="2456"/>
    </row>
    <row r="10" spans="1:11" ht="16.5">
      <c r="A10" s="2294" t="s">
        <v>654</v>
      </c>
      <c r="B10" s="2294">
        <f>IF(E10="",0,ROUND(B1*(E10*365/G10)/10000,0))</f>
        <v>0</v>
      </c>
      <c r="C10" s="2294" t="s">
        <v>3354</v>
      </c>
      <c r="D10" s="2294" t="s">
        <v>3355</v>
      </c>
      <c r="E10" s="3101"/>
      <c r="F10" s="3105" t="s">
        <v>3356</v>
      </c>
      <c r="G10" s="3102"/>
      <c r="H10" s="2456"/>
      <c r="I10" s="2456"/>
      <c r="J10" s="2456"/>
      <c r="K10" s="2456"/>
    </row>
    <row r="11" spans="1:11" ht="16.5">
      <c r="A11" s="2294"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'数据-汇总表'!E3</f>
        <v>84373.10000000002</v>
      </c>
      <c r="C14" s="2300">
        <f>'数据-汇总表'!D3</f>
        <v>10591.91</v>
      </c>
      <c r="D14" s="2300">
        <f ca="1">结果表!M13</f>
        <v>555627</v>
      </c>
      <c r="E14" s="2300">
        <f ca="1">ROUND(D14*10000/B14,0)</f>
        <v>65854</v>
      </c>
      <c r="F14" s="2300">
        <f ca="1">ROUND(D14*10000/C14,0)</f>
        <v>524577</v>
      </c>
      <c r="G14" s="2300">
        <f ca="1">D14</f>
        <v>555627</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41"/>
      <c r="H15" s="1241"/>
      <c r="I15" s="2301"/>
      <c r="J15" s="2456"/>
      <c r="K15" s="2456"/>
    </row>
    <row r="16" spans="1:11" ht="16.5">
      <c r="A16" s="2299" t="s">
        <v>648</v>
      </c>
      <c r="B16" s="2301"/>
      <c r="C16" s="2301"/>
      <c r="D16" s="2301"/>
      <c r="E16" s="2300" t="e">
        <f t="shared" si="0"/>
        <v>#DIV/0!</v>
      </c>
      <c r="F16" s="2300" t="e">
        <f t="shared" si="1"/>
        <v>#DIV/0!</v>
      </c>
      <c r="G16" s="1241"/>
      <c r="H16" s="1241"/>
      <c r="I16" s="2301"/>
      <c r="J16" s="2456"/>
      <c r="K16" s="2456"/>
    </row>
    <row r="17" spans="1:11" ht="16.5">
      <c r="A17" s="2299" t="s">
        <v>647</v>
      </c>
      <c r="B17" s="2301"/>
      <c r="C17" s="2301"/>
      <c r="D17" s="2301"/>
      <c r="E17" s="2300" t="e">
        <f t="shared" si="0"/>
        <v>#DIV/0!</v>
      </c>
      <c r="F17" s="2300" t="e">
        <f t="shared" si="1"/>
        <v>#DIV/0!</v>
      </c>
      <c r="G17" s="1241"/>
      <c r="H17" s="1241"/>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1" zoomScaleNormal="100" zoomScaleSheetLayoutView="100" zoomScalePageLayoutView="80" workbookViewId="0">
      <selection activeCell="M25" sqref="M25"/>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4" ht="21.75" customHeight="1" thickBot="1">
      <c r="A1" s="1518" t="s">
        <v>1262</v>
      </c>
      <c r="B1" s="646"/>
      <c r="C1" s="1617"/>
      <c r="D1" s="646"/>
      <c r="E1" s="646"/>
      <c r="F1" s="1618" t="s">
        <v>1263</v>
      </c>
      <c r="G1" s="1450" t="s">
        <v>3595</v>
      </c>
      <c r="H1" s="1618" t="str">
        <f>IF(G1="现房","——","估价对象范围")</f>
        <v>——</v>
      </c>
      <c r="I1" s="1619" t="s">
        <v>3596</v>
      </c>
    </row>
    <row r="2" spans="1:14" ht="21.75" customHeight="1" thickBot="1">
      <c r="A2" s="3326" t="str">
        <f>项目基本情况!S2</f>
        <v>北京市西城区西直门外大街南路甲28号房地产</v>
      </c>
      <c r="B2" s="3327"/>
      <c r="C2" s="3327"/>
      <c r="D2" s="3327"/>
      <c r="E2" s="3327"/>
      <c r="F2" s="3327"/>
      <c r="G2" s="3327"/>
      <c r="H2" s="3327"/>
      <c r="I2" s="3328"/>
    </row>
    <row r="3" spans="1:14" ht="12.75">
      <c r="A3" s="3330" t="s">
        <v>1264</v>
      </c>
      <c r="B3" s="3331"/>
      <c r="C3" s="3331"/>
      <c r="D3" s="3331"/>
      <c r="E3" s="3331"/>
      <c r="F3" s="3331"/>
      <c r="G3" s="3331"/>
      <c r="H3" s="3331"/>
      <c r="I3" s="3331"/>
    </row>
    <row r="4" spans="1:14" ht="14.25">
      <c r="A4" s="1621" t="s">
        <v>1265</v>
      </c>
      <c r="B4" s="1622" t="s">
        <v>1266</v>
      </c>
      <c r="C4" s="1623" t="s">
        <v>3591</v>
      </c>
      <c r="D4" s="1623" t="s">
        <v>3592</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4" ht="12.75">
      <c r="A5" s="3306" t="s">
        <v>1268</v>
      </c>
      <c r="B5" s="3293">
        <v>25</v>
      </c>
      <c r="C5" s="3309"/>
      <c r="D5" s="3329"/>
      <c r="E5" s="123" t="s">
        <v>1269</v>
      </c>
      <c r="F5" s="1624"/>
      <c r="G5" s="1624"/>
      <c r="H5" s="1624"/>
      <c r="I5" s="1278"/>
    </row>
    <row r="6" spans="1:14" ht="12.75">
      <c r="A6" s="3306"/>
      <c r="B6" s="3293"/>
      <c r="C6" s="3310"/>
      <c r="D6" s="3329"/>
      <c r="E6" s="123" t="s">
        <v>1270</v>
      </c>
      <c r="F6" s="1624"/>
      <c r="G6" s="1624"/>
      <c r="H6" s="1624"/>
      <c r="I6" s="1278"/>
    </row>
    <row r="7" spans="1:14" ht="12.75">
      <c r="A7" s="3306"/>
      <c r="B7" s="3293"/>
      <c r="C7" s="3311"/>
      <c r="D7" s="3329"/>
      <c r="E7" s="123" t="s">
        <v>1271</v>
      </c>
      <c r="F7" s="1624"/>
      <c r="G7" s="1624"/>
      <c r="H7" s="1624"/>
      <c r="I7" s="1278"/>
      <c r="K7" s="3162" t="s">
        <v>3589</v>
      </c>
      <c r="L7" s="3160" t="s">
        <v>3587</v>
      </c>
      <c r="M7" s="3162" t="s">
        <v>3590</v>
      </c>
    </row>
    <row r="8" spans="1:14" ht="12.75">
      <c r="A8" s="3306" t="s">
        <v>1272</v>
      </c>
      <c r="B8" s="3293">
        <v>15</v>
      </c>
      <c r="C8" s="3309"/>
      <c r="D8" s="3329"/>
      <c r="E8" s="123" t="s">
        <v>1273</v>
      </c>
      <c r="F8" s="1624"/>
      <c r="G8" s="1624"/>
      <c r="H8" s="1624"/>
      <c r="I8" s="1278"/>
      <c r="K8" s="3161">
        <v>0.7</v>
      </c>
      <c r="L8" s="3161">
        <v>0.1</v>
      </c>
      <c r="M8" s="3161">
        <v>0.2</v>
      </c>
    </row>
    <row r="9" spans="1:14" ht="12.75">
      <c r="A9" s="3306"/>
      <c r="B9" s="3293"/>
      <c r="C9" s="3311"/>
      <c r="D9" s="3329"/>
      <c r="E9" s="123" t="s">
        <v>1274</v>
      </c>
      <c r="F9" s="1624"/>
      <c r="G9" s="1624"/>
      <c r="H9" s="1624"/>
      <c r="I9" s="1278"/>
      <c r="K9" s="3160">
        <f ca="1">C19</f>
        <v>614270</v>
      </c>
      <c r="L9" s="3160">
        <f ca="1">成本法!B2</f>
        <v>380824</v>
      </c>
      <c r="M9" s="3160">
        <f ca="1">D19</f>
        <v>437781</v>
      </c>
      <c r="N9" s="684">
        <f ca="1">K9*K8+L9*L8+M9*M8</f>
        <v>555627.60000000009</v>
      </c>
    </row>
    <row r="10" spans="1:14" ht="12.75">
      <c r="A10" s="3306" t="s">
        <v>1275</v>
      </c>
      <c r="B10" s="3293">
        <v>15</v>
      </c>
      <c r="C10" s="3309"/>
      <c r="D10" s="3329"/>
      <c r="E10" s="123" t="s">
        <v>1276</v>
      </c>
      <c r="F10" s="1624"/>
      <c r="G10" s="1624"/>
      <c r="H10" s="1624"/>
      <c r="I10" s="1278"/>
      <c r="K10" s="3160">
        <f>'比较法-办公'!B3</f>
        <v>72804</v>
      </c>
      <c r="L10" s="3160">
        <f ca="1">成本法!B3</f>
        <v>45136</v>
      </c>
      <c r="M10" s="3160">
        <f ca="1">'收益法（汇总）'!B3</f>
        <v>51886</v>
      </c>
    </row>
    <row r="11" spans="1:14" ht="12.75">
      <c r="A11" s="3306"/>
      <c r="B11" s="3293"/>
      <c r="C11" s="3311"/>
      <c r="D11" s="3329"/>
      <c r="E11" s="123" t="s">
        <v>1277</v>
      </c>
      <c r="F11" s="1624"/>
      <c r="G11" s="1624"/>
      <c r="H11" s="1624"/>
      <c r="I11" s="1278"/>
      <c r="K11" s="3160">
        <f ca="1">ROUND(K9*K8,0)</f>
        <v>429989</v>
      </c>
      <c r="L11" s="3160">
        <f ca="1">ROUND(L9*L8,0)</f>
        <v>38082</v>
      </c>
      <c r="M11" s="3160">
        <f ca="1">ROUND(M9*M8,0)</f>
        <v>87556</v>
      </c>
    </row>
    <row r="12" spans="1:14" ht="12.75">
      <c r="A12" s="3306" t="s">
        <v>1278</v>
      </c>
      <c r="B12" s="3293">
        <v>15</v>
      </c>
      <c r="C12" s="3309"/>
      <c r="D12" s="3329"/>
      <c r="E12" s="123" t="s">
        <v>1279</v>
      </c>
      <c r="F12" s="1624"/>
      <c r="G12" s="1624"/>
      <c r="H12" s="1624"/>
      <c r="I12" s="1278"/>
    </row>
    <row r="13" spans="1:14" ht="12.75">
      <c r="A13" s="3306"/>
      <c r="B13" s="3293"/>
      <c r="C13" s="3311"/>
      <c r="D13" s="3329"/>
      <c r="E13" s="123" t="s">
        <v>1280</v>
      </c>
      <c r="F13" s="1624"/>
      <c r="G13" s="1624"/>
      <c r="H13" s="1624"/>
      <c r="I13" s="1278"/>
      <c r="L13" s="3160" t="s">
        <v>3588</v>
      </c>
      <c r="M13" s="3160">
        <f ca="1">K11+M11+L11</f>
        <v>555627</v>
      </c>
    </row>
    <row r="14" spans="1:14" ht="12.75">
      <c r="A14" s="3306" t="s">
        <v>1281</v>
      </c>
      <c r="B14" s="3293">
        <v>30</v>
      </c>
      <c r="C14" s="3309"/>
      <c r="D14" s="3329"/>
      <c r="E14" s="123" t="s">
        <v>1282</v>
      </c>
      <c r="F14" s="1624"/>
      <c r="G14" s="1624"/>
      <c r="H14" s="1624"/>
      <c r="I14" s="1278"/>
      <c r="M14" s="3200" t="str">
        <f ca="1">NUMBERSTRING(INT(M13*10000),2)&amp;"元整"</f>
        <v>伍拾伍亿伍仟陆佰贰拾柒万元整</v>
      </c>
    </row>
    <row r="15" spans="1:14" ht="12.75">
      <c r="A15" s="3306"/>
      <c r="B15" s="3293"/>
      <c r="C15" s="3310"/>
      <c r="D15" s="3329"/>
      <c r="E15" s="123" t="s">
        <v>1283</v>
      </c>
      <c r="F15" s="1624"/>
      <c r="G15" s="1624"/>
      <c r="H15" s="1624"/>
      <c r="I15" s="1278"/>
      <c r="M15" s="684">
        <f ca="1">系统读取表!E14</f>
        <v>65854</v>
      </c>
    </row>
    <row r="16" spans="1:14" ht="12.75">
      <c r="A16" s="3306"/>
      <c r="B16" s="3293"/>
      <c r="C16" s="3311"/>
      <c r="D16" s="3329"/>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16" t="s">
        <v>2131</v>
      </c>
      <c r="F18" s="3317"/>
      <c r="G18" s="3317"/>
      <c r="H18" s="3317"/>
      <c r="I18" s="3317"/>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614270</v>
      </c>
      <c r="D19" s="127">
        <f ca="1">SUMIF(INDIRECT("'"&amp;D4&amp;"'"&amp;"!A:A"),结果表!B19,INDIRECT("'"&amp;D4&amp;"'"&amp;"!B:B"))</f>
        <v>437781</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72804</v>
      </c>
      <c r="D20" s="130">
        <f ca="1">SUMIF(INDIRECT("'"&amp;D4&amp;"'"&amp;"!A:A"),结果表!B20,INDIRECT("'"&amp;D4&amp;"'"&amp;"!B:B"))</f>
        <v>51886</v>
      </c>
      <c r="E20" s="1630"/>
      <c r="F20" s="43" t="s">
        <v>1295</v>
      </c>
      <c r="G20" s="131" t="e">
        <f ca="1">ROUND(C20*$C$18+D20*$D$18,0)</f>
        <v>#DIV/0!</v>
      </c>
      <c r="H20" s="757" t="s">
        <v>1296</v>
      </c>
      <c r="I20" s="121"/>
    </row>
    <row r="21" spans="1:36" ht="15" customHeight="1" thickBot="1">
      <c r="A21" s="449"/>
      <c r="B21" s="93" t="s">
        <v>1297</v>
      </c>
      <c r="C21" s="678">
        <f ca="1">ROUND(C19*10000/L19,0)</f>
        <v>579943</v>
      </c>
      <c r="D21" s="679">
        <f ca="1">ROUND(D19*10000/L19,0)</f>
        <v>413316</v>
      </c>
      <c r="E21" s="449"/>
      <c r="F21" s="93" t="s">
        <v>1297</v>
      </c>
      <c r="G21" s="132" t="e">
        <f ca="1">ROUND(G19*10000/L19,0)</f>
        <v>#DIV/0!</v>
      </c>
      <c r="H21" s="1631" t="s">
        <v>1296</v>
      </c>
      <c r="I21" s="121"/>
    </row>
    <row r="22" spans="1:36" ht="15" thickBot="1">
      <c r="A22" s="1561" t="s">
        <v>1298</v>
      </c>
      <c r="B22" s="1632"/>
      <c r="C22" s="1633"/>
      <c r="D22" s="680">
        <f ca="1">IF(C19&lt;D19,D19/C19-1,C19/D19-1)</f>
        <v>0.40314449462174018</v>
      </c>
      <c r="E22" s="121"/>
      <c r="F22" s="121"/>
      <c r="G22" s="121"/>
      <c r="H22" s="121"/>
      <c r="I22" s="121"/>
    </row>
    <row r="23" spans="1:36" ht="13.5" thickBot="1">
      <c r="A23" s="646"/>
      <c r="B23" s="646"/>
      <c r="C23" s="646"/>
      <c r="D23" s="646"/>
      <c r="E23" s="121"/>
      <c r="F23" s="121"/>
      <c r="G23" s="121"/>
      <c r="H23" s="121"/>
      <c r="I23" s="121"/>
    </row>
    <row r="24" spans="1:36" ht="14.25">
      <c r="A24" s="3300" t="s">
        <v>1299</v>
      </c>
      <c r="B24" s="1628" t="s">
        <v>1291</v>
      </c>
      <c r="C24" s="128">
        <f>IF(B30=0,0,D30)</f>
        <v>0</v>
      </c>
      <c r="D24" s="1634"/>
      <c r="E24" s="121"/>
      <c r="F24" s="121"/>
      <c r="G24" s="121"/>
      <c r="H24" s="121"/>
      <c r="I24" s="121"/>
    </row>
    <row r="25" spans="1:36" ht="14.25">
      <c r="A25" s="3301"/>
      <c r="B25" s="43" t="s">
        <v>1295</v>
      </c>
      <c r="C25" s="133">
        <f>IF(B30=0,0,C30)</f>
        <v>0</v>
      </c>
      <c r="D25" s="1635"/>
      <c r="E25" s="121"/>
      <c r="F25" s="121"/>
      <c r="G25" s="121"/>
      <c r="H25" s="121"/>
      <c r="I25" s="121"/>
      <c r="M25" s="684">
        <f>614270*70%+380824*10%+437781*20%</f>
        <v>555627.60000000009</v>
      </c>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7"/>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t="e">
        <f ca="1">IF(D32="总价",G19-C24,G20-C25)</f>
        <v>#DIV/0!</v>
      </c>
      <c r="D32" s="1638"/>
      <c r="E32" s="121"/>
      <c r="F32" s="121"/>
      <c r="G32" s="121"/>
      <c r="H32" s="121"/>
      <c r="I32" s="121"/>
    </row>
    <row r="33" spans="1:15" ht="15">
      <c r="A33" s="737"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20" t="s">
        <v>1312</v>
      </c>
      <c r="B36" s="1649" t="s">
        <v>1313</v>
      </c>
      <c r="C36" s="137"/>
      <c r="D36" s="1650"/>
      <c r="E36" s="1564"/>
      <c r="F36" s="1651"/>
      <c r="G36" s="121"/>
      <c r="H36" s="121"/>
      <c r="I36" s="121"/>
    </row>
    <row r="37" spans="1:15" ht="15.75" thickBot="1">
      <c r="A37" s="3321"/>
      <c r="B37" s="1552" t="s">
        <v>1314</v>
      </c>
      <c r="C37" s="139"/>
      <c r="D37" s="1068"/>
      <c r="E37" s="1068"/>
      <c r="F37" s="1651"/>
      <c r="G37" s="121"/>
      <c r="H37" s="121"/>
      <c r="I37" s="121"/>
    </row>
    <row r="38" spans="1:15" ht="15.75" thickBot="1">
      <c r="A38" s="3322"/>
      <c r="B38" s="1652" t="s">
        <v>1315</v>
      </c>
      <c r="C38" s="641"/>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97" t="s">
        <v>1326</v>
      </c>
      <c r="B45" s="3298"/>
      <c r="C45" s="3299"/>
      <c r="D45" s="147" t="e">
        <f ca="1">ROUND(H101*F45,0)</f>
        <v>#REF!</v>
      </c>
      <c r="E45" s="148" t="s">
        <v>1327</v>
      </c>
      <c r="F45" s="149">
        <v>1</v>
      </c>
      <c r="G45" s="150" t="s">
        <v>1328</v>
      </c>
      <c r="H45" s="121"/>
      <c r="I45" s="121"/>
      <c r="J45" s="3375" t="s">
        <v>1329</v>
      </c>
      <c r="K45" s="3375"/>
      <c r="L45" s="3375"/>
      <c r="M45" s="3375"/>
      <c r="N45" s="3375"/>
      <c r="O45" s="3375"/>
    </row>
    <row r="46" spans="1:15" ht="14.25" customHeight="1">
      <c r="A46" s="3294" t="s">
        <v>1330</v>
      </c>
      <c r="B46" s="3295"/>
      <c r="C46" s="3295"/>
      <c r="D46" s="3295"/>
      <c r="E46" s="3295"/>
      <c r="F46" s="3295"/>
      <c r="G46" s="3296"/>
      <c r="H46" s="1665"/>
      <c r="I46" s="151"/>
      <c r="J46" s="2304">
        <v>1</v>
      </c>
      <c r="K46" s="3356" t="s">
        <v>1331</v>
      </c>
      <c r="L46" s="3356"/>
      <c r="M46" s="3376"/>
      <c r="N46" s="3376"/>
      <c r="O46" s="3376"/>
    </row>
    <row r="47" spans="1:15" ht="12" customHeight="1">
      <c r="A47" s="152" t="s">
        <v>1332</v>
      </c>
      <c r="B47" s="153"/>
      <c r="C47" s="154"/>
      <c r="D47" s="1021" t="s">
        <v>1333</v>
      </c>
      <c r="E47" s="294" t="s">
        <v>1334</v>
      </c>
      <c r="F47" s="155" t="s">
        <v>1335</v>
      </c>
      <c r="G47" s="2327" t="s">
        <v>1336</v>
      </c>
      <c r="H47" s="2328"/>
      <c r="I47" s="151"/>
      <c r="J47" s="2304">
        <v>2</v>
      </c>
      <c r="K47" s="3356" t="s">
        <v>1337</v>
      </c>
      <c r="L47" s="3356"/>
      <c r="M47" s="3377">
        <f>'数据-取费表'!B2</f>
        <v>45635</v>
      </c>
      <c r="N47" s="3377"/>
      <c r="O47" s="3377"/>
    </row>
    <row r="48" spans="1:15" ht="25.5">
      <c r="A48" s="3325" t="s">
        <v>1338</v>
      </c>
      <c r="B48" s="3308"/>
      <c r="C48" s="3308"/>
      <c r="D48" s="12" t="b">
        <f>IF(H48="情况1",0,IF(H48="情况2",D52,IF(H48="情况3",D53,IF(H48="情况4",D54))))</f>
        <v>0</v>
      </c>
      <c r="E48" s="1253" t="str">
        <f>IF(H48="情况4","(销售额-原购置价)×税（费）率","销售额×税（费）率")</f>
        <v>销售额×税（费）率</v>
      </c>
      <c r="F48" s="2329">
        <f>IF(H48="情况1","免征",'数据-取费表'!B41)</f>
        <v>5.6000000000000001E-2</v>
      </c>
      <c r="G48" s="2330" t="s">
        <v>1339</v>
      </c>
      <c r="H48" s="2331"/>
      <c r="I48" s="1665"/>
      <c r="J48" s="2304">
        <v>3</v>
      </c>
      <c r="K48" s="3356" t="s">
        <v>1340</v>
      </c>
      <c r="L48" s="3356"/>
      <c r="M48" s="3378" t="e">
        <f ca="1">H101</f>
        <v>#REF!</v>
      </c>
      <c r="N48" s="3378"/>
      <c r="O48" s="3378"/>
    </row>
    <row r="49" spans="1:35" ht="25.5" customHeight="1">
      <c r="A49" s="2148" t="s">
        <v>1341</v>
      </c>
      <c r="B49" s="3292" t="s">
        <v>1342</v>
      </c>
      <c r="C49" s="3292"/>
      <c r="D49" s="1475">
        <v>0</v>
      </c>
      <c r="E49" s="316" t="s">
        <v>1343</v>
      </c>
      <c r="F49" s="2229" t="s">
        <v>28</v>
      </c>
      <c r="G49" s="3362"/>
      <c r="H49" s="2130" t="s">
        <v>2134</v>
      </c>
      <c r="I49" s="2131"/>
      <c r="J49" s="2304">
        <v>4</v>
      </c>
      <c r="K49" s="3356" t="str">
        <f>IF(项目基本情况!E8="房地产抵押价值","房地产抵押价值","抵押担保权已注销时的房地产抵押价值")</f>
        <v>房地产抵押价值</v>
      </c>
      <c r="L49" s="3356"/>
      <c r="M49" s="3378" t="str">
        <f ca="1">IF(项目基本情况!E8="房地产抵押价值",H107,H109)</f>
        <v>——</v>
      </c>
      <c r="N49" s="3378"/>
      <c r="O49" s="3378"/>
    </row>
    <row r="50" spans="1:35" ht="25.5" customHeight="1">
      <c r="A50" s="2332"/>
      <c r="B50" s="3292" t="s">
        <v>1344</v>
      </c>
      <c r="C50" s="3292"/>
      <c r="D50" s="2185"/>
      <c r="E50" s="323"/>
      <c r="F50" s="2229"/>
      <c r="G50" s="3363"/>
      <c r="H50" s="2132" t="s">
        <v>2135</v>
      </c>
      <c r="I50" s="2131"/>
      <c r="J50" s="3375" t="s">
        <v>1345</v>
      </c>
      <c r="K50" s="3375"/>
      <c r="L50" s="3375"/>
      <c r="M50" s="3375"/>
      <c r="N50" s="3375"/>
      <c r="O50" s="3375"/>
    </row>
    <row r="51" spans="1:35" ht="20.45" customHeight="1">
      <c r="A51" s="2333"/>
      <c r="B51" s="3292" t="s">
        <v>1346</v>
      </c>
      <c r="C51" s="3292"/>
      <c r="D51" s="1021"/>
      <c r="E51" s="319"/>
      <c r="F51" s="2229"/>
      <c r="G51" s="3364"/>
      <c r="H51" s="2132" t="s">
        <v>2136</v>
      </c>
      <c r="I51" s="2131"/>
      <c r="J51" s="2305" t="s">
        <v>1347</v>
      </c>
      <c r="K51" s="3356" t="s">
        <v>1348</v>
      </c>
      <c r="L51" s="3356"/>
      <c r="M51" s="2305" t="s">
        <v>1349</v>
      </c>
      <c r="N51" s="2305" t="s">
        <v>1350</v>
      </c>
      <c r="O51" s="2305" t="s">
        <v>1351</v>
      </c>
    </row>
    <row r="52" spans="1:35" ht="24" customHeight="1">
      <c r="A52" s="2149" t="s">
        <v>1352</v>
      </c>
      <c r="B52" s="3292" t="s">
        <v>1353</v>
      </c>
      <c r="C52" s="3292"/>
      <c r="D52" s="1021" t="e">
        <f ca="1">ROUND(D45*'数据-取费表'!B41/(1+'数据-取费表'!C42),0)</f>
        <v>#REF!</v>
      </c>
      <c r="E52" s="1253" t="s">
        <v>1354</v>
      </c>
      <c r="F52" s="2334">
        <f>'数据-取费表'!B41</f>
        <v>5.6000000000000001E-2</v>
      </c>
      <c r="G52" s="2335"/>
      <c r="H52" s="2325"/>
      <c r="I52" s="1666"/>
      <c r="J52" s="2304">
        <v>1</v>
      </c>
      <c r="K52" s="3357" t="s">
        <v>1355</v>
      </c>
      <c r="L52" s="3357"/>
      <c r="M52" s="2306" t="b">
        <f>D48</f>
        <v>0</v>
      </c>
      <c r="N52" s="2304" t="str">
        <f>E48</f>
        <v>销售额×税（费）率</v>
      </c>
      <c r="O52" s="2307">
        <f>F48</f>
        <v>5.6000000000000001E-2</v>
      </c>
    </row>
    <row r="53" spans="1:35" ht="12" customHeight="1">
      <c r="A53" s="2149" t="s">
        <v>1356</v>
      </c>
      <c r="B53" s="3318" t="s">
        <v>2287</v>
      </c>
      <c r="C53" s="3319"/>
      <c r="D53" s="1021" t="e">
        <f ca="1">ROUND(D45*'数据-取费表'!B41/(1+'数据-取费表'!C42),0)</f>
        <v>#REF!</v>
      </c>
      <c r="E53" s="1253" t="s">
        <v>1354</v>
      </c>
      <c r="F53" s="2334">
        <f>'数据-取费表'!B41</f>
        <v>5.6000000000000001E-2</v>
      </c>
      <c r="G53" s="2335"/>
      <c r="H53" s="2325"/>
      <c r="I53" s="1666"/>
      <c r="J53" s="2304">
        <v>2</v>
      </c>
      <c r="K53" s="3357" t="s">
        <v>1357</v>
      </c>
      <c r="L53" s="3357"/>
      <c r="M53" s="2306" t="e">
        <f t="shared" ref="M53:O54" ca="1" si="0">D55</f>
        <v>#REF!</v>
      </c>
      <c r="N53" s="2304" t="str">
        <f t="shared" si="0"/>
        <v>销售额×税（费）率</v>
      </c>
      <c r="O53" s="2307" t="str">
        <f t="shared" si="0"/>
        <v>免征</v>
      </c>
    </row>
    <row r="54" spans="1:35" ht="12" customHeight="1">
      <c r="A54" s="2149" t="s">
        <v>1358</v>
      </c>
      <c r="B54" s="3318" t="s">
        <v>2288</v>
      </c>
      <c r="C54" s="3319"/>
      <c r="D54" s="1021" t="e">
        <f ca="1">C68</f>
        <v>#REF!</v>
      </c>
      <c r="E54" s="319" t="s">
        <v>1359</v>
      </c>
      <c r="F54" s="2334">
        <f>'数据-取费表'!B41</f>
        <v>5.6000000000000001E-2</v>
      </c>
      <c r="G54" s="2335"/>
      <c r="H54" s="2336"/>
      <c r="I54" s="1666"/>
      <c r="J54" s="2304">
        <v>3</v>
      </c>
      <c r="K54" s="3357" t="s">
        <v>1360</v>
      </c>
      <c r="L54" s="3357"/>
      <c r="M54" s="2306" t="e">
        <f t="shared" ca="1" si="0"/>
        <v>#REF!</v>
      </c>
      <c r="N54" s="2304" t="str">
        <f t="shared" si="0"/>
        <v>增值额×税（费）率</v>
      </c>
      <c r="O54" s="2308" t="str">
        <f t="shared" si="0"/>
        <v>免征</v>
      </c>
    </row>
    <row r="55" spans="1:35" ht="24" customHeight="1">
      <c r="A55" s="3307" t="s">
        <v>1361</v>
      </c>
      <c r="B55" s="3308"/>
      <c r="C55" s="3308"/>
      <c r="D55" s="12" t="e">
        <f ca="1">IF(H55="个人住宅",0,ROUND(D45*I55,0))</f>
        <v>#REF!</v>
      </c>
      <c r="E55" s="1253" t="s">
        <v>1362</v>
      </c>
      <c r="F55" s="2334" t="str">
        <f>IF(H55="正常",I55,"免征")</f>
        <v>免征</v>
      </c>
      <c r="G55" s="2335"/>
      <c r="H55" s="2331"/>
      <c r="I55" s="157">
        <f>'数据-取费表'!B49</f>
        <v>5.0000000000000001E-4</v>
      </c>
      <c r="J55" s="2304">
        <f>IF(H59="非个人房产","",4)</f>
        <v>4</v>
      </c>
      <c r="K55" s="3357" t="str">
        <f>IF(H59="非个人房产","——","个人所得税")</f>
        <v>个人所得税</v>
      </c>
      <c r="L55" s="3357"/>
      <c r="M55" s="2309" t="e">
        <f ca="1">D59</f>
        <v>#REF!</v>
      </c>
      <c r="N55" s="1880" t="str">
        <f>E59</f>
        <v>差额计税</v>
      </c>
      <c r="O55" s="2310">
        <f>F59</f>
        <v>0.01</v>
      </c>
    </row>
    <row r="56" spans="1:35" ht="24.75">
      <c r="A56" s="3307" t="s">
        <v>1363</v>
      </c>
      <c r="B56" s="3308"/>
      <c r="C56" s="3308"/>
      <c r="D56" s="12" t="e">
        <f ca="1">IF(H56="个人住宅",D57,D58)</f>
        <v>#REF!</v>
      </c>
      <c r="E56" s="1253" t="s">
        <v>1364</v>
      </c>
      <c r="F56" s="2334" t="str">
        <f>IF(H56="正常",F58,"免征")</f>
        <v>免征</v>
      </c>
      <c r="G56" s="2337" t="s">
        <v>1365</v>
      </c>
      <c r="H56" s="2338"/>
      <c r="I56" s="1667"/>
      <c r="J56" s="2304" t="str">
        <f>IF(项目基本情况!K6="上海银行",IF(J55="",4,J55+1),"")</f>
        <v/>
      </c>
      <c r="K56" s="3380" t="str">
        <f>IF(项目基本情况!K6="上海银行","其他处置费用","")</f>
        <v/>
      </c>
      <c r="L56" s="3381"/>
      <c r="M56" s="2306" t="str">
        <f>IF(项目基本情况!K6="上海银行",M69,"")</f>
        <v/>
      </c>
      <c r="N56" s="3380" t="str">
        <f>IF(项目基本情况!K6="上海银行","包含处置中涉及的律师、诉讼、拍卖、评估等费用","")</f>
        <v/>
      </c>
      <c r="O56" s="3383"/>
    </row>
    <row r="57" spans="1:35" ht="12.75">
      <c r="A57" s="2149" t="s">
        <v>1341</v>
      </c>
      <c r="B57" s="3318" t="s">
        <v>1366</v>
      </c>
      <c r="C57" s="3319"/>
      <c r="D57" s="1475">
        <v>0</v>
      </c>
      <c r="E57" s="316" t="s">
        <v>1343</v>
      </c>
      <c r="F57" s="294"/>
      <c r="G57" s="2335"/>
      <c r="H57" s="2339"/>
      <c r="I57" s="1667"/>
      <c r="J57" s="3357">
        <f>IF(AND(J55="",J56=""),4,IF(项目基本情况!K6="上海银行",结果表!J56+1,结果表!J55+1))</f>
        <v>5</v>
      </c>
      <c r="K57" s="3357" t="s">
        <v>1367</v>
      </c>
      <c r="L57" s="2311" t="s">
        <v>1368</v>
      </c>
      <c r="M57" s="2312"/>
      <c r="N57" s="2313">
        <f ca="1">SUMIF(M52:M56,"&lt;9e307")</f>
        <v>0</v>
      </c>
      <c r="O57" s="2314"/>
      <c r="P57" s="2458" t="e">
        <f ca="1">N57/M49</f>
        <v>#VALUE!</v>
      </c>
    </row>
    <row r="58" spans="1:35" ht="24.75">
      <c r="A58" s="2149" t="s">
        <v>1352</v>
      </c>
      <c r="B58" s="3318" t="s">
        <v>1369</v>
      </c>
      <c r="C58" s="3292"/>
      <c r="D58" s="12" t="e">
        <f ca="1">IF(H58="转让取得",C81,C97)</f>
        <v>#REF!</v>
      </c>
      <c r="E58" s="1253" t="s">
        <v>1364</v>
      </c>
      <c r="F58" s="294" t="s">
        <v>28</v>
      </c>
      <c r="G58" s="2335"/>
      <c r="H58" s="2338"/>
      <c r="I58" s="1667"/>
      <c r="J58" s="3357"/>
      <c r="K58" s="3357"/>
      <c r="L58" s="2311" t="s">
        <v>1370</v>
      </c>
      <c r="M58" s="2315"/>
      <c r="N58" s="2316" t="str">
        <f ca="1">NUMBERSTRING(INT(N57*10000),2)&amp;"元整"</f>
        <v>零元整</v>
      </c>
      <c r="O58" s="2317"/>
    </row>
    <row r="59" spans="1:35" ht="24.75" thickBot="1">
      <c r="A59" s="3360" t="s">
        <v>1371</v>
      </c>
      <c r="B59" s="3361"/>
      <c r="C59" s="336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4"/>
      <c r="I59" s="2133" t="s">
        <v>2137</v>
      </c>
      <c r="J59" s="3358">
        <f>J57+1</f>
        <v>6</v>
      </c>
      <c r="K59" s="3357" t="s">
        <v>1372</v>
      </c>
      <c r="L59" s="2304" t="s">
        <v>1368</v>
      </c>
      <c r="M59" s="2318"/>
      <c r="N59" s="2319" t="e">
        <f ca="1">M49-N57</f>
        <v>#VALUE!</v>
      </c>
      <c r="O59" s="2320"/>
    </row>
    <row r="60" spans="1:35" ht="12" customHeight="1">
      <c r="A60" s="1668"/>
      <c r="B60" s="646"/>
      <c r="C60" s="646"/>
      <c r="D60" s="646"/>
      <c r="E60" s="1463"/>
      <c r="F60" s="1667"/>
      <c r="G60" s="1667"/>
      <c r="H60" s="151"/>
      <c r="I60" s="121"/>
      <c r="J60" s="3359"/>
      <c r="K60" s="3357"/>
      <c r="L60" s="2311" t="s">
        <v>1370</v>
      </c>
      <c r="M60" s="2315"/>
      <c r="N60" s="2316" t="e">
        <f ca="1">NUMBERSTRING(INT(N59*10000),2)&amp;"元整"</f>
        <v>#VALUE!</v>
      </c>
      <c r="O60" s="2317"/>
    </row>
    <row r="61" spans="1:35" ht="13.5" thickBot="1">
      <c r="A61" s="3305" t="s">
        <v>1373</v>
      </c>
      <c r="B61" s="3305"/>
      <c r="C61" s="3305"/>
      <c r="D61" s="3305"/>
      <c r="E61" s="3305"/>
      <c r="F61" s="1667"/>
      <c r="G61" s="1667"/>
      <c r="H61" s="151"/>
      <c r="I61" s="121"/>
      <c r="J61" s="2304">
        <f>J59+1</f>
        <v>7</v>
      </c>
      <c r="K61" s="3357" t="s">
        <v>1374</v>
      </c>
      <c r="L61" s="3357"/>
      <c r="M61" s="2321"/>
      <c r="N61" s="2322" t="e">
        <f ca="1">ROUND(N59*10000/'数据-汇总表'!E3,0)</f>
        <v>#VALUE!</v>
      </c>
      <c r="O61" s="2323"/>
    </row>
    <row r="62" spans="1:35" ht="12.75">
      <c r="A62" s="3323" t="s">
        <v>1375</v>
      </c>
      <c r="B62" s="3324"/>
      <c r="C62" s="1862"/>
      <c r="D62" s="1862" t="s">
        <v>1376</v>
      </c>
      <c r="E62" s="158" t="s">
        <v>1377</v>
      </c>
      <c r="F62" s="1667"/>
      <c r="G62" s="1667"/>
      <c r="H62" s="151"/>
      <c r="I62" s="121"/>
    </row>
    <row r="63" spans="1:35" ht="12.75">
      <c r="A63" s="165" t="s">
        <v>330</v>
      </c>
      <c r="B63" s="159" t="s">
        <v>1378</v>
      </c>
      <c r="C63" s="2344" t="e">
        <f ca="1">ROUND((C64+C65)/(1+'数据-取费表'!C42),0)</f>
        <v>#REF!</v>
      </c>
      <c r="D63" s="159"/>
      <c r="E63" s="160"/>
      <c r="F63" s="1667"/>
      <c r="G63" s="1667"/>
      <c r="H63" s="151"/>
      <c r="I63" s="121"/>
      <c r="J63" s="3382" t="s">
        <v>1379</v>
      </c>
      <c r="K63" s="1242" t="s">
        <v>1380</v>
      </c>
      <c r="L63" s="1242" t="e">
        <f ca="1">IF(M49&gt;10000,M49*0.5%,IF(AND(M49&gt;1000,M49&lt;=10000),M49*1%,IF(AND(M49&gt;100,M49&lt;=1000),M49*3%,IF(AND(M49&gt;10,M49&lt;=100),M49*5%,M49*8%))))</f>
        <v>#VALUE!</v>
      </c>
      <c r="M63" s="294" t="e">
        <f ca="1">ROUND(L63,1)</f>
        <v>#VALUE!</v>
      </c>
      <c r="N63" s="2324"/>
      <c r="Z63" s="1620"/>
      <c r="AI63" s="1558"/>
    </row>
    <row r="64" spans="1:35" ht="14.25" customHeight="1">
      <c r="A64" s="161" t="s">
        <v>325</v>
      </c>
      <c r="B64" s="162" t="s">
        <v>1381</v>
      </c>
      <c r="C64" s="2345" t="e">
        <f ca="1">D45</f>
        <v>#REF!</v>
      </c>
      <c r="D64" s="162" t="s">
        <v>26</v>
      </c>
      <c r="E64" s="164"/>
      <c r="F64" s="1667"/>
      <c r="G64" s="1667"/>
      <c r="H64" s="151"/>
      <c r="I64" s="121"/>
      <c r="J64" s="3382"/>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5" t="s">
        <v>1383</v>
      </c>
      <c r="Z64" s="1620"/>
      <c r="AI64" s="1558"/>
    </row>
    <row r="65" spans="1:35" ht="14.25" customHeight="1">
      <c r="A65" s="161" t="s">
        <v>326</v>
      </c>
      <c r="B65" s="162" t="s">
        <v>1384</v>
      </c>
      <c r="C65" s="2346"/>
      <c r="D65" s="162"/>
      <c r="E65" s="164"/>
      <c r="F65" s="1667"/>
      <c r="G65" s="1667"/>
      <c r="H65" s="151"/>
      <c r="I65" s="121"/>
      <c r="J65" s="3382"/>
      <c r="K65" s="1242" t="s">
        <v>1385</v>
      </c>
      <c r="L65" s="1242" t="e">
        <f ca="1">IF(M49&gt;1000,M49*0.1%,IF(AND(M49&gt;500,M49&lt;=1000),M49*0.5%,IF(AND(M49&gt;50,M49&lt;=500),M49*1%,IF(AND(M49&gt;1,M49&lt;=50),M49*1.5%))))</f>
        <v>#VALUE!</v>
      </c>
      <c r="M65" s="294" t="e">
        <f t="shared" ca="1" si="1"/>
        <v>#VALUE!</v>
      </c>
      <c r="N65" s="2325" t="s">
        <v>1383</v>
      </c>
      <c r="Z65" s="1620"/>
      <c r="AI65" s="1558"/>
    </row>
    <row r="66" spans="1:35" ht="14.25" customHeight="1">
      <c r="A66" s="165" t="s">
        <v>327</v>
      </c>
      <c r="B66" s="166" t="s">
        <v>1386</v>
      </c>
      <c r="C66" s="2347"/>
      <c r="D66" s="166" t="s">
        <v>26</v>
      </c>
      <c r="E66" s="1248" t="s">
        <v>671</v>
      </c>
      <c r="F66" s="1667"/>
      <c r="G66" s="1667"/>
      <c r="H66" s="151"/>
      <c r="I66" s="121"/>
      <c r="J66" s="3382"/>
      <c r="K66" s="1242" t="s">
        <v>1387</v>
      </c>
      <c r="L66" s="1242" t="e">
        <f ca="1">M49*0.5%</f>
        <v>#VALUE!</v>
      </c>
      <c r="M66" s="294" t="e">
        <f ca="1">IF(L66&gt;0.5,0.5,ROUND(L66,0))</f>
        <v>#VALUE!</v>
      </c>
      <c r="N66" s="2325" t="s">
        <v>1388</v>
      </c>
      <c r="Z66" s="1620"/>
      <c r="AI66" s="1558"/>
    </row>
    <row r="67" spans="1:35" ht="14.25" customHeight="1">
      <c r="A67" s="165" t="s">
        <v>328</v>
      </c>
      <c r="B67" s="166" t="s">
        <v>1389</v>
      </c>
      <c r="C67" s="2348" t="e">
        <f ca="1">C63-C66</f>
        <v>#REF!</v>
      </c>
      <c r="D67" s="162" t="s">
        <v>26</v>
      </c>
      <c r="E67" s="164"/>
      <c r="F67" s="1667"/>
      <c r="G67" s="1667"/>
      <c r="H67" s="151"/>
      <c r="I67" s="121"/>
      <c r="J67" s="3382"/>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20"/>
      <c r="AI67" s="1558"/>
    </row>
    <row r="68" spans="1:35" ht="14.25" customHeight="1" thickBot="1">
      <c r="A68" s="168" t="s">
        <v>329</v>
      </c>
      <c r="B68" s="169" t="s">
        <v>1391</v>
      </c>
      <c r="C68" s="2349" t="e">
        <f ca="1">IF(C67&lt;=0,0,ROUND(C67*D68,0))</f>
        <v>#REF!</v>
      </c>
      <c r="D68" s="2350">
        <f>'数据-取费表'!B41</f>
        <v>5.6000000000000001E-2</v>
      </c>
      <c r="E68" s="170"/>
      <c r="F68" s="1667"/>
      <c r="G68" s="1667"/>
      <c r="H68" s="151"/>
      <c r="I68" s="121"/>
      <c r="J68" s="3382"/>
      <c r="K68" s="1242" t="s">
        <v>1392</v>
      </c>
      <c r="L68" s="1242" t="e">
        <f ca="1">IF(M49&gt;10000,M49*0.5%,IF(AND(M49&gt;5000,M49&lt;=10000),M49*1%,IF(AND(M49&gt;1000,M49&lt;=5000),M49*2%,IF(AND(M49&gt;200,M49&lt;=1000),M49*3%,M49*5%))))</f>
        <v>#VALUE!</v>
      </c>
      <c r="M68" s="294" t="e">
        <f ca="1">ROUND(L68,1)</f>
        <v>#VALUE!</v>
      </c>
      <c r="N68" s="2324"/>
      <c r="Z68" s="1620"/>
      <c r="AI68" s="1558"/>
    </row>
    <row r="69" spans="1:35" ht="16.5" customHeight="1">
      <c r="A69" s="1669"/>
      <c r="B69" s="1670"/>
      <c r="C69" s="1671"/>
      <c r="D69" s="1672"/>
      <c r="E69" s="1673"/>
      <c r="F69" s="1463"/>
      <c r="G69" s="1463"/>
      <c r="H69" s="1464"/>
      <c r="I69" s="646"/>
      <c r="J69" s="3382"/>
      <c r="K69" s="1242" t="s">
        <v>1393</v>
      </c>
      <c r="L69" s="1242"/>
      <c r="M69" s="294" t="e">
        <f ca="1">ROUND(SUM(M63:M68),0)</f>
        <v>#VALUE!</v>
      </c>
      <c r="N69" s="2326" t="e">
        <f ca="1">M69/M49</f>
        <v>#VALUE!</v>
      </c>
      <c r="Z69" s="1620"/>
      <c r="AI69" s="1558"/>
    </row>
    <row r="70" spans="1:35" s="642" customFormat="1" ht="15" thickBot="1">
      <c r="A70" s="3344" t="s">
        <v>1394</v>
      </c>
      <c r="B70" s="3345"/>
      <c r="C70" s="3345"/>
      <c r="D70" s="3345"/>
      <c r="E70" s="3345"/>
      <c r="F70" s="3345"/>
      <c r="G70" s="3345"/>
      <c r="H70" s="3345"/>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23" t="s">
        <v>1375</v>
      </c>
      <c r="B71" s="3324"/>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48"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48"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318" t="s">
        <v>1402</v>
      </c>
      <c r="F76" s="3292"/>
      <c r="G76" s="3292"/>
      <c r="H76" s="334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t="e">
        <f ca="1">ROUND(D45*D78/(1+'数据-取费表'!C42),0)</f>
        <v>#REF!</v>
      </c>
      <c r="D78" s="2357">
        <f>'数据-取费表'!B43</f>
        <v>6.000000000000001E-3</v>
      </c>
      <c r="E78" s="3302" t="s">
        <v>1406</v>
      </c>
      <c r="F78" s="3303"/>
      <c r="G78" s="3303"/>
      <c r="H78" s="331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48"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44" t="s">
        <v>1410</v>
      </c>
      <c r="B83" s="3345"/>
      <c r="C83" s="3345"/>
      <c r="D83" s="3345"/>
      <c r="E83" s="3345"/>
      <c r="F83" s="3345"/>
      <c r="G83" s="3345"/>
      <c r="H83" s="334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23" t="s">
        <v>1375</v>
      </c>
      <c r="B84" s="3324"/>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48"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48" t="e">
        <f ca="1">IF(H88="仅含出让金",C87+C90+C91+C92+C93+C94,C87+C91+C92+C93+C94)</f>
        <v>#REF!</v>
      </c>
      <c r="D86" s="236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6">
        <f>C88+C89</f>
        <v>0</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2"/>
      <c r="D88" s="2357"/>
      <c r="E88" s="185" t="s">
        <v>1413</v>
      </c>
      <c r="F88" s="2144"/>
      <c r="G88" s="186" t="s">
        <v>1414</v>
      </c>
      <c r="H88" s="1681"/>
      <c r="I88" s="1678"/>
      <c r="J88" s="2302"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6">
        <f>ROUND(C88*D89,0)</f>
        <v>0</v>
      </c>
      <c r="D89" s="2357">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2"/>
      <c r="D90" s="2357"/>
      <c r="E90" s="185" t="str">
        <f>IF(H88="-","土地取得成本中已包含该笔费用"," ")</f>
        <v xml:space="preserve"> </v>
      </c>
      <c r="F90" s="2144"/>
      <c r="G90" s="3384" t="s">
        <v>2129</v>
      </c>
      <c r="H90" s="3385"/>
      <c r="I90" s="1678"/>
      <c r="J90" s="2302"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302" t="s">
        <v>1419</v>
      </c>
      <c r="F91" s="3303"/>
      <c r="G91" s="330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302" t="s">
        <v>1422</v>
      </c>
      <c r="F92" s="3303"/>
      <c r="G92" s="3303"/>
      <c r="H92" s="3312"/>
      <c r="I92" s="1678"/>
      <c r="J92" s="2303"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t="e">
        <f ca="1">ROUND(D45*D93/(1+'数据-取费表'!C42),0)</f>
        <v>#REF!</v>
      </c>
      <c r="D93" s="2357">
        <f>'数据-取费表'!B43</f>
        <v>6.000000000000001E-3</v>
      </c>
      <c r="E93" s="3302" t="s">
        <v>1406</v>
      </c>
      <c r="F93" s="3303"/>
      <c r="G93" s="3303"/>
      <c r="H93" s="331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313" t="s">
        <v>1426</v>
      </c>
      <c r="F94" s="3314"/>
      <c r="G94" s="3314"/>
      <c r="H94" s="331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48"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86" t="s">
        <v>1428</v>
      </c>
      <c r="B100" s="3287"/>
      <c r="C100" s="3287"/>
      <c r="D100" s="3304"/>
      <c r="E100" s="3287" t="s">
        <v>1429</v>
      </c>
      <c r="F100" s="3287"/>
      <c r="G100" s="3287"/>
      <c r="H100" s="3304"/>
      <c r="I100" s="121"/>
    </row>
    <row r="101" spans="1:35" ht="18.75" customHeight="1">
      <c r="A101" s="3365" t="s">
        <v>1430</v>
      </c>
      <c r="B101" s="3366"/>
      <c r="C101" s="2365" t="str">
        <f>C4</f>
        <v>比较法-办公</v>
      </c>
      <c r="D101" s="2366" t="str">
        <f>D4</f>
        <v>收益法（汇总）</v>
      </c>
      <c r="E101" s="3379" t="s">
        <v>1431</v>
      </c>
      <c r="F101" s="3336"/>
      <c r="G101" s="1684" t="s">
        <v>1432</v>
      </c>
      <c r="H101" s="2375" t="e">
        <f ca="1">H118</f>
        <v>#REF!</v>
      </c>
      <c r="I101" s="121"/>
    </row>
    <row r="102" spans="1:35" ht="18.75" customHeight="1">
      <c r="A102" s="3338" t="s">
        <v>1433</v>
      </c>
      <c r="B102" s="2364" t="s">
        <v>1432</v>
      </c>
      <c r="C102" s="2365">
        <f ca="1">IF(D32="楼面单价",ROUND(C19,0),C19)</f>
        <v>614270</v>
      </c>
      <c r="D102" s="2366">
        <f ca="1">IF(D32="楼面单价",ROUND(D19,0),D19)</f>
        <v>437781</v>
      </c>
      <c r="E102" s="3379"/>
      <c r="F102" s="3336"/>
      <c r="G102" s="1684" t="s">
        <v>1434</v>
      </c>
      <c r="H102" s="2335" t="e">
        <f ca="1">I118</f>
        <v>#REF!</v>
      </c>
      <c r="I102" s="121"/>
    </row>
    <row r="103" spans="1:35" ht="42.75" customHeight="1">
      <c r="A103" s="3338"/>
      <c r="B103" s="2364" t="s">
        <v>1434</v>
      </c>
      <c r="C103" s="2367">
        <f ca="1">C20</f>
        <v>72804</v>
      </c>
      <c r="D103" s="2368">
        <f ca="1">D20</f>
        <v>51886</v>
      </c>
      <c r="E103" s="3373" t="s">
        <v>1435</v>
      </c>
      <c r="F103" s="3374"/>
      <c r="G103" s="1685" t="s">
        <v>1436</v>
      </c>
      <c r="H103" s="2375">
        <f>IF(D36="正常操作",H104+H105+H106,H105+H106)</f>
        <v>0</v>
      </c>
      <c r="I103" s="121"/>
    </row>
    <row r="104" spans="1:35" ht="18.75" customHeight="1">
      <c r="A104" s="3338" t="s">
        <v>1437</v>
      </c>
      <c r="B104" s="2369" t="s">
        <v>1432</v>
      </c>
      <c r="C104" s="2370" t="e">
        <f ca="1">H118</f>
        <v>#REF!</v>
      </c>
      <c r="D104" s="2371"/>
      <c r="E104" s="1552" t="s">
        <v>1438</v>
      </c>
      <c r="F104" s="1545"/>
      <c r="G104" s="1685" t="s">
        <v>1436</v>
      </c>
      <c r="H104" s="2376">
        <f>IF(D36="同一抵押权人同一抵押物续贷",C36&amp;"（续贷，未扣减，详见特别提示）",C36)</f>
        <v>0</v>
      </c>
      <c r="I104" s="121"/>
    </row>
    <row r="105" spans="1:35" ht="18.75" customHeight="1" thickBot="1">
      <c r="A105" s="3339"/>
      <c r="B105" s="2372" t="s">
        <v>1434</v>
      </c>
      <c r="C105" s="2373" t="e">
        <f ca="1">I118</f>
        <v>#REF!</v>
      </c>
      <c r="D105" s="2374"/>
      <c r="E105" s="1552" t="s">
        <v>1439</v>
      </c>
      <c r="F105" s="1545"/>
      <c r="G105" s="1685" t="s">
        <v>1436</v>
      </c>
      <c r="H105" s="2377">
        <f>C37</f>
        <v>0</v>
      </c>
      <c r="I105" s="121"/>
    </row>
    <row r="106" spans="1:35" ht="18.75" customHeight="1">
      <c r="A106" s="646" t="s">
        <v>1440</v>
      </c>
      <c r="B106" s="646"/>
      <c r="C106" s="646"/>
      <c r="D106" s="646"/>
      <c r="E106" s="1686" t="s">
        <v>1441</v>
      </c>
      <c r="F106" s="1545"/>
      <c r="G106" s="1685" t="s">
        <v>1436</v>
      </c>
      <c r="H106" s="2377">
        <f>C38</f>
        <v>0</v>
      </c>
      <c r="I106" s="121"/>
    </row>
    <row r="107" spans="1:35" ht="18.75" customHeight="1">
      <c r="A107" s="121"/>
      <c r="B107" s="121"/>
      <c r="C107" s="121"/>
      <c r="D107" s="121"/>
      <c r="E107" s="3335" t="str">
        <f>IF(项目基本情况!E8="已注销","——","3.房地产抵押价值")</f>
        <v>3.房地产抵押价值</v>
      </c>
      <c r="F107" s="3336"/>
      <c r="G107" s="1684" t="s">
        <v>1432</v>
      </c>
      <c r="H107" s="2375" t="e">
        <f ca="1">IF(E107="——","——",H101-H103)</f>
        <v>#REF!</v>
      </c>
      <c r="I107" s="121"/>
    </row>
    <row r="108" spans="1:35" ht="18.75" customHeight="1">
      <c r="A108" s="121"/>
      <c r="B108" s="121"/>
      <c r="C108" s="121"/>
      <c r="D108" s="121"/>
      <c r="E108" s="3335"/>
      <c r="F108" s="3336"/>
      <c r="G108" s="1684" t="s">
        <v>1434</v>
      </c>
      <c r="H108" s="2335">
        <f ca="1">IF(H107=H101,H102,ROUND(H107*10000/'数据-汇总表'!E3,0))</f>
        <v>0</v>
      </c>
      <c r="I108" s="121"/>
    </row>
    <row r="109" spans="1:35" ht="18.75" customHeight="1">
      <c r="A109" s="121"/>
      <c r="B109" s="121"/>
      <c r="C109" s="121"/>
      <c r="D109" s="121"/>
      <c r="E109" s="3335" t="str">
        <f>IF(项目基本情况!E8="已注销及未注销","4.抵押担保权已注销时的房地产抵押价值",IF(项目基本情况!E8="已注销","3.抵押担保权已注销时的房地产抵押价值","——"))</f>
        <v>——</v>
      </c>
      <c r="F109" s="3336"/>
      <c r="G109" s="1684" t="s">
        <v>1432</v>
      </c>
      <c r="H109" s="2378" t="str">
        <f>IF(E109="——","——",H101-H105-H106)</f>
        <v>——</v>
      </c>
      <c r="I109" s="121"/>
    </row>
    <row r="110" spans="1:35" ht="18.75" customHeight="1">
      <c r="A110" s="121"/>
      <c r="B110" s="121"/>
      <c r="C110" s="121"/>
      <c r="D110" s="121"/>
      <c r="E110" s="3335"/>
      <c r="F110" s="3336"/>
      <c r="G110" s="1684" t="s">
        <v>1434</v>
      </c>
      <c r="H110" s="2335" t="str">
        <f>IF(H109="——","——",ROUND(H109*10000/'数据-汇总表'!E3,0))</f>
        <v>——</v>
      </c>
      <c r="I110" s="121"/>
    </row>
    <row r="111" spans="1:35" ht="18.75" customHeight="1">
      <c r="A111" s="121"/>
      <c r="B111" s="121"/>
      <c r="C111" s="121"/>
      <c r="D111" s="121"/>
      <c r="E111" s="3367" t="str">
        <f>IF(项目基本情况!E9="抵押净值",IF(OR(项目基本情况!E8="已注销",项目基本情况!E8="房地产抵押价值"),"4.抵押净值","5.抵押净值"),"——")</f>
        <v>——</v>
      </c>
      <c r="F111" s="3337"/>
      <c r="G111" s="1684" t="s">
        <v>1432</v>
      </c>
      <c r="H111" s="2375" t="str">
        <f>IF(E111="——","——",N59)</f>
        <v>——</v>
      </c>
      <c r="I111" s="121"/>
    </row>
    <row r="112" spans="1:35" ht="18.75" customHeight="1" thickBot="1">
      <c r="A112" s="121"/>
      <c r="B112" s="121"/>
      <c r="C112" s="121"/>
      <c r="D112" s="121"/>
      <c r="E112" s="3368"/>
      <c r="F112" s="3369"/>
      <c r="G112" s="1687" t="s">
        <v>1434</v>
      </c>
      <c r="H112" s="2379" t="str">
        <f>IF(E111="——","——",N61)</f>
        <v>——</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68"/>
      <c r="F114" s="1668"/>
      <c r="G114" s="1668"/>
      <c r="H114" s="1668"/>
      <c r="I114" s="646"/>
    </row>
    <row r="115" spans="1:27" ht="18.75" customHeight="1">
      <c r="A115" s="3350" t="s">
        <v>1442</v>
      </c>
      <c r="B115" s="3351"/>
      <c r="C115" s="3351"/>
      <c r="D115" s="3351"/>
      <c r="E115" s="3351"/>
      <c r="F115" s="3351"/>
      <c r="G115" s="3351"/>
      <c r="H115" s="3351"/>
      <c r="I115" s="3352"/>
    </row>
    <row r="116" spans="1:27" ht="27" customHeight="1">
      <c r="A116" s="3306" t="s">
        <v>1443</v>
      </c>
      <c r="B116" s="3341" t="s">
        <v>1444</v>
      </c>
      <c r="C116" s="3341" t="s">
        <v>1445</v>
      </c>
      <c r="D116" s="3354" t="s">
        <v>1446</v>
      </c>
      <c r="E116" s="3355"/>
      <c r="F116" s="3349" t="s">
        <v>1447</v>
      </c>
      <c r="G116" s="3349"/>
      <c r="H116" s="3306" t="s">
        <v>1448</v>
      </c>
      <c r="I116" s="3306"/>
    </row>
    <row r="117" spans="1:27" ht="18.75" customHeight="1">
      <c r="A117" s="3306"/>
      <c r="B117" s="3342"/>
      <c r="C117" s="3342"/>
      <c r="D117" s="2146" t="s">
        <v>1449</v>
      </c>
      <c r="E117" s="2146" t="s">
        <v>1450</v>
      </c>
      <c r="F117" s="2146" t="s">
        <v>1449</v>
      </c>
      <c r="G117" s="2146" t="s">
        <v>1451</v>
      </c>
      <c r="H117" s="2146" t="s">
        <v>1449</v>
      </c>
      <c r="I117" s="2146" t="s">
        <v>1451</v>
      </c>
    </row>
    <row r="118" spans="1:27" ht="24.75" customHeight="1">
      <c r="A118" s="2380" t="str">
        <f>项目基本情况!S2</f>
        <v>北京市西城区西直门外大街南路甲28号房地产</v>
      </c>
      <c r="B118" s="2146">
        <f>M18</f>
        <v>84373.10000000002</v>
      </c>
      <c r="C118" s="2146">
        <f>M19</f>
        <v>10591.91</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6" t="s">
        <v>1452</v>
      </c>
      <c r="B119" s="3306"/>
      <c r="C119" s="3306"/>
      <c r="D119" s="3346" t="e">
        <f ca="1">NUMBERSTRING(INT(D118*10000),2)&amp;"元整"</f>
        <v>#REF!</v>
      </c>
      <c r="E119" s="3348"/>
      <c r="F119" s="3346" t="e">
        <f ca="1">NUMBERSTRING(INT(F118*10000),2)&amp;"元整"</f>
        <v>#REF!</v>
      </c>
      <c r="G119" s="3348"/>
      <c r="H119" s="3346" t="e">
        <f ca="1">NUMBERSTRING(INT(H118*10000),2)&amp;"元整"</f>
        <v>#REF!</v>
      </c>
      <c r="I119" s="3348"/>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6" t="s">
        <v>1452</v>
      </c>
      <c r="B121" s="3347"/>
      <c r="C121" s="3348"/>
      <c r="D121" s="3346" t="str">
        <f>IF(D120=0,"零元整",NUMBERSTRING(INT(D120*10000),2)&amp;"元整")</f>
        <v>零元整</v>
      </c>
      <c r="E121" s="3347"/>
      <c r="F121" s="3347"/>
      <c r="G121" s="3347"/>
      <c r="H121" s="3347"/>
      <c r="I121" s="3348"/>
      <c r="AA121" s="684"/>
    </row>
    <row r="122" spans="1:27" ht="18.75" customHeight="1">
      <c r="A122" s="3337" t="str">
        <f>IF(项目基本情况!B9="房地产市场价值","",MID(E107,3,LEN(E107)-2))</f>
        <v>房地产抵押价值</v>
      </c>
      <c r="B122" s="3337"/>
      <c r="C122" s="3337"/>
      <c r="D122" s="3370" t="e">
        <f ca="1">H107</f>
        <v>#REF!</v>
      </c>
      <c r="E122" s="3371"/>
      <c r="F122" s="3371"/>
      <c r="G122" s="3371"/>
      <c r="H122" s="3371"/>
      <c r="I122" s="3372"/>
      <c r="AA122" s="684"/>
    </row>
    <row r="123" spans="1:27" ht="18.75" customHeight="1">
      <c r="A123" s="3306" t="s">
        <v>1452</v>
      </c>
      <c r="B123" s="3306"/>
      <c r="C123" s="3306"/>
      <c r="D123" s="3346" t="e">
        <f ca="1">NUMBERSTRING(INT(D122*10000),2)&amp;"元整"</f>
        <v>#REF!</v>
      </c>
      <c r="E123" s="3347"/>
      <c r="F123" s="3347"/>
      <c r="G123" s="3347"/>
      <c r="H123" s="3347"/>
      <c r="I123" s="3348"/>
      <c r="AA123" s="684"/>
    </row>
    <row r="124" spans="1:27" ht="18.75" customHeight="1">
      <c r="A124" s="3337" t="str">
        <f>IF(项目基本情况!B9="房地产市场价值","",MID(E109,3,LEN(E109)-2))</f>
        <v/>
      </c>
      <c r="B124" s="3337"/>
      <c r="C124" s="3337"/>
      <c r="D124" s="3370" t="str">
        <f>H109</f>
        <v>——</v>
      </c>
      <c r="E124" s="3371"/>
      <c r="F124" s="3371"/>
      <c r="G124" s="3371"/>
      <c r="H124" s="3371"/>
      <c r="I124" s="3372"/>
      <c r="AA124" s="684"/>
    </row>
    <row r="125" spans="1:27" ht="18.75" customHeight="1">
      <c r="A125" s="3306" t="s">
        <v>1452</v>
      </c>
      <c r="B125" s="3306"/>
      <c r="C125" s="3306"/>
      <c r="D125" s="3346" t="e">
        <f>NUMBERSTRING(INT(D124*10000),2)&amp;"元整"</f>
        <v>#VALUE!</v>
      </c>
      <c r="E125" s="3347"/>
      <c r="F125" s="3347"/>
      <c r="G125" s="3347"/>
      <c r="H125" s="3347"/>
      <c r="I125" s="3348"/>
      <c r="AA125" s="684"/>
    </row>
    <row r="126" spans="1:27" ht="18.75" customHeight="1">
      <c r="A126" s="3337" t="str">
        <f>IF(项目基本情况!B9="房地产市场价值","",MID(E111,3,LEN(E111)-2))</f>
        <v/>
      </c>
      <c r="B126" s="3337"/>
      <c r="C126" s="3337"/>
      <c r="D126" s="3370" t="str">
        <f>H111</f>
        <v>——</v>
      </c>
      <c r="E126" s="3371"/>
      <c r="F126" s="3371"/>
      <c r="G126" s="3371"/>
      <c r="H126" s="3371"/>
      <c r="I126" s="3372"/>
      <c r="AA126" s="684"/>
    </row>
    <row r="127" spans="1:27" ht="18.75" customHeight="1">
      <c r="A127" s="3306" t="s">
        <v>1452</v>
      </c>
      <c r="B127" s="3306"/>
      <c r="C127" s="3306"/>
      <c r="D127" s="3346" t="e">
        <f>NUMBERSTRING(INT(D126*10000),2)&amp;"元整"</f>
        <v>#VALUE!</v>
      </c>
      <c r="E127" s="3347"/>
      <c r="F127" s="3347"/>
      <c r="G127" s="3347"/>
      <c r="H127" s="3347"/>
      <c r="I127" s="3348"/>
      <c r="AA127" s="684"/>
    </row>
    <row r="128" spans="1:27" ht="21.75" customHeight="1">
      <c r="A128" s="3353" t="s">
        <v>1453</v>
      </c>
      <c r="B128" s="3353"/>
      <c r="C128" s="3353"/>
      <c r="D128" s="3353"/>
      <c r="E128" s="3353"/>
      <c r="F128" s="3353"/>
      <c r="G128" s="3353"/>
      <c r="H128" s="3353"/>
      <c r="I128" s="3353"/>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1" t="str">
        <f>项目基本情况!B1</f>
        <v>北京市西城区西直门外大街南路甲28号房地产抵押价值预评估</v>
      </c>
      <c r="C37" s="3201"/>
      <c r="D37" s="3201"/>
      <c r="E37" s="3201"/>
      <c r="F37" s="3201"/>
      <c r="G37" s="3201"/>
      <c r="H37" s="3201"/>
      <c r="I37" s="3201"/>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BH132"/>
  <sheetViews>
    <sheetView view="pageBreakPreview" topLeftCell="A13" zoomScale="85" zoomScaleNormal="70" zoomScaleSheetLayoutView="85"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096" t="s">
        <v>3593</v>
      </c>
      <c r="F1" s="1732" t="s">
        <v>3594</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614270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72804</v>
      </c>
      <c r="C3" s="344" t="s">
        <v>1768</v>
      </c>
      <c r="D3" s="343">
        <f>IF(D1="",'数据-汇总表'!E3,SUMIF('数据-汇总表'!$C19:$C33,D1,'数据-汇总表'!$E19:$E33))</f>
        <v>84373.10000000002</v>
      </c>
      <c r="E3" s="1802"/>
      <c r="F3" s="853"/>
      <c r="G3" s="852"/>
      <c r="H3" s="852"/>
      <c r="I3" s="852"/>
      <c r="J3" s="852"/>
      <c r="K3" s="854"/>
      <c r="L3" s="2497"/>
      <c r="M3" s="2498"/>
      <c r="N3" s="2498"/>
      <c r="O3" s="2498"/>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08" t="s">
        <v>1775</v>
      </c>
      <c r="Q4" s="3409"/>
      <c r="R4" s="3414" t="s">
        <v>1771</v>
      </c>
      <c r="S4" s="3415"/>
      <c r="T4" s="3414" t="s">
        <v>1772</v>
      </c>
      <c r="U4" s="3415"/>
      <c r="V4" s="3420" t="s">
        <v>1773</v>
      </c>
      <c r="W4" s="3420"/>
      <c r="X4" s="1806"/>
      <c r="Y4" s="3414" t="s">
        <v>1775</v>
      </c>
      <c r="Z4" s="3415"/>
      <c r="AA4" s="3433" t="s">
        <v>1771</v>
      </c>
      <c r="AB4" s="3433" t="s">
        <v>1772</v>
      </c>
      <c r="AC4" s="3401" t="s">
        <v>1773</v>
      </c>
    </row>
    <row r="5" spans="1:29" ht="15">
      <c r="A5" s="348"/>
      <c r="B5" s="349"/>
      <c r="C5" s="3429" t="s">
        <v>1673</v>
      </c>
      <c r="D5" s="3424"/>
      <c r="E5" s="3436" t="s">
        <v>3597</v>
      </c>
      <c r="F5" s="3437"/>
      <c r="G5" s="3423" t="s">
        <v>3598</v>
      </c>
      <c r="H5" s="3424"/>
      <c r="I5" s="3430" t="s">
        <v>3601</v>
      </c>
      <c r="J5" s="3424"/>
      <c r="K5" s="537"/>
      <c r="L5" s="2480"/>
      <c r="M5" s="2481"/>
      <c r="N5" s="2481"/>
      <c r="O5" s="2481"/>
      <c r="P5" s="3410"/>
      <c r="Q5" s="3411"/>
      <c r="R5" s="3416"/>
      <c r="S5" s="3417"/>
      <c r="T5" s="3416"/>
      <c r="U5" s="3417"/>
      <c r="V5" s="3388"/>
      <c r="W5" s="3388"/>
      <c r="X5" s="1262"/>
      <c r="Y5" s="3416"/>
      <c r="Z5" s="3417"/>
      <c r="AA5" s="3434"/>
      <c r="AB5" s="3434"/>
      <c r="AC5" s="3402"/>
    </row>
    <row r="6" spans="1:29" ht="15.75" thickBot="1">
      <c r="A6" s="350"/>
      <c r="B6" s="351"/>
      <c r="C6" s="3421" t="s">
        <v>1677</v>
      </c>
      <c r="D6" s="3422"/>
      <c r="E6" s="3431" t="s">
        <v>1677</v>
      </c>
      <c r="F6" s="3432"/>
      <c r="G6" s="3421" t="s">
        <v>1677</v>
      </c>
      <c r="H6" s="3422"/>
      <c r="I6" s="3421" t="s">
        <v>1677</v>
      </c>
      <c r="J6" s="3422"/>
      <c r="K6" s="537" t="s">
        <v>1678</v>
      </c>
      <c r="L6" s="2480"/>
      <c r="M6" s="2481"/>
      <c r="N6" s="2481"/>
      <c r="O6" s="2481"/>
      <c r="P6" s="3412"/>
      <c r="Q6" s="3413"/>
      <c r="R6" s="3416"/>
      <c r="S6" s="3417"/>
      <c r="T6" s="3418"/>
      <c r="U6" s="3419"/>
      <c r="V6" s="3388"/>
      <c r="W6" s="3388"/>
      <c r="X6" s="1262"/>
      <c r="Y6" s="3418"/>
      <c r="Z6" s="3419"/>
      <c r="AA6" s="3435"/>
      <c r="AB6" s="3435"/>
      <c r="AC6" s="3403"/>
    </row>
    <row r="7" spans="1:29" s="102" customFormat="1" ht="15.75" thickBot="1">
      <c r="A7" s="352" t="s">
        <v>1679</v>
      </c>
      <c r="B7" s="353"/>
      <c r="C7" s="354">
        <f>'数据-取费表'!B2</f>
        <v>45635</v>
      </c>
      <c r="D7" s="355">
        <v>100</v>
      </c>
      <c r="E7" s="356">
        <v>45286</v>
      </c>
      <c r="F7" s="357">
        <f>SUMIF(59:59,YEAR(E7)&amp;"-"&amp;MONTH(E7),60:60)</f>
        <v>100</v>
      </c>
      <c r="G7" s="356">
        <v>45393</v>
      </c>
      <c r="H7" s="355">
        <f>SUMIF(59:59,YEAR(G7)&amp;"-"&amp;MONTH(G7),60:60)</f>
        <v>100</v>
      </c>
      <c r="I7" s="356">
        <v>44224</v>
      </c>
      <c r="J7" s="355">
        <f>SUMIF(59:59,YEAR(I7)&amp;"-"&amp;MONTH(I7),60:60)</f>
        <v>100</v>
      </c>
      <c r="K7" s="38"/>
      <c r="L7" s="2482"/>
      <c r="M7" s="2434"/>
      <c r="N7" s="2434"/>
      <c r="O7" s="2434"/>
      <c r="P7" s="3425" t="s">
        <v>1680</v>
      </c>
      <c r="Q7" s="3428"/>
      <c r="R7" s="664" t="s">
        <v>14</v>
      </c>
      <c r="S7" s="665">
        <f t="shared" ref="S7:S15" si="0">F7</f>
        <v>100</v>
      </c>
      <c r="T7" s="664" t="s">
        <v>14</v>
      </c>
      <c r="U7" s="665">
        <f t="shared" ref="U7:U15" si="1">H7</f>
        <v>100</v>
      </c>
      <c r="V7" s="664" t="s">
        <v>14</v>
      </c>
      <c r="W7" s="665">
        <f t="shared" ref="W7:W15" si="2">J7</f>
        <v>100</v>
      </c>
      <c r="X7" s="666"/>
      <c r="Y7" s="3427" t="s">
        <v>1680</v>
      </c>
      <c r="Z7" s="3426"/>
      <c r="AA7" s="50">
        <f>D7/F7</f>
        <v>1</v>
      </c>
      <c r="AB7" s="50">
        <f>D7/H7</f>
        <v>1</v>
      </c>
      <c r="AC7" s="799">
        <f>D7/J7</f>
        <v>1</v>
      </c>
    </row>
    <row r="8" spans="1:29" s="102" customFormat="1" ht="15.75" thickBot="1">
      <c r="A8" s="352" t="s">
        <v>1681</v>
      </c>
      <c r="B8" s="353"/>
      <c r="C8" s="358" t="s">
        <v>3569</v>
      </c>
      <c r="D8" s="355">
        <v>100</v>
      </c>
      <c r="E8" s="358" t="s">
        <v>3569</v>
      </c>
      <c r="F8" s="357">
        <f>SUMIF(62:62,E8,63:63)-SUMIF(62:62,C8,63:63)+100</f>
        <v>100</v>
      </c>
      <c r="G8" s="358" t="s">
        <v>3569</v>
      </c>
      <c r="H8" s="355">
        <f>SUMIF(62:62,G8,63:63)-SUMIF(62:62,C8,63:63)+100</f>
        <v>100</v>
      </c>
      <c r="I8" s="358" t="s">
        <v>3569</v>
      </c>
      <c r="J8" s="355">
        <f>SUMIF(62:62,I8,63:63)-SUMIF(62:62,C8,63:63)+100</f>
        <v>100</v>
      </c>
      <c r="K8" s="38"/>
      <c r="L8" s="2482"/>
      <c r="M8" s="2434"/>
      <c r="N8" s="2434"/>
      <c r="O8" s="2434"/>
      <c r="P8" s="3425" t="s">
        <v>1683</v>
      </c>
      <c r="Q8" s="3426"/>
      <c r="R8" s="664" t="s">
        <v>14</v>
      </c>
      <c r="S8" s="665">
        <f t="shared" si="0"/>
        <v>100</v>
      </c>
      <c r="T8" s="664" t="s">
        <v>14</v>
      </c>
      <c r="U8" s="665">
        <f t="shared" si="1"/>
        <v>100</v>
      </c>
      <c r="V8" s="664" t="s">
        <v>14</v>
      </c>
      <c r="W8" s="665">
        <f t="shared" si="2"/>
        <v>100</v>
      </c>
      <c r="X8" s="666"/>
      <c r="Y8" s="3427" t="s">
        <v>1683</v>
      </c>
      <c r="Z8" s="3426"/>
      <c r="AA8" s="50">
        <f t="shared" ref="AA8:AA47" si="3">D8/F8</f>
        <v>1</v>
      </c>
      <c r="AB8" s="50">
        <f t="shared" ref="AB8:AB47" si="4">D8/H8</f>
        <v>1</v>
      </c>
      <c r="AC8" s="799">
        <f t="shared" ref="AC8:AC47" si="5">D8/J8</f>
        <v>1</v>
      </c>
    </row>
    <row r="9" spans="1:29" s="102" customFormat="1" ht="15">
      <c r="A9" s="359" t="s">
        <v>1684</v>
      </c>
      <c r="B9" s="60" t="s">
        <v>1685</v>
      </c>
      <c r="C9" s="360" t="s">
        <v>3556</v>
      </c>
      <c r="D9" s="59">
        <v>100</v>
      </c>
      <c r="E9" s="362" t="s">
        <v>21</v>
      </c>
      <c r="F9" s="59">
        <f>SUMIF(64:64,E9,65:65)-SUMIF(64:64,C9,65:65)+100</f>
        <v>95</v>
      </c>
      <c r="G9" s="361" t="s">
        <v>3556</v>
      </c>
      <c r="H9" s="59">
        <f>SUMIF(64:64,G9,65:65)-SUMIF(64:64,C9,65:65)+100</f>
        <v>100</v>
      </c>
      <c r="I9" s="361" t="s">
        <v>3556</v>
      </c>
      <c r="J9" s="59">
        <f>SUMIF(64:64,I9,65:65)-SUMIF(64:64,C9,65:65)+100</f>
        <v>100</v>
      </c>
      <c r="K9" s="38"/>
      <c r="L9" s="2482"/>
      <c r="M9" s="2434"/>
      <c r="N9" s="2434"/>
      <c r="O9" s="2434"/>
      <c r="P9" s="3386" t="s">
        <v>1686</v>
      </c>
      <c r="Q9" s="530" t="str">
        <f t="shared" ref="Q9:Q15" si="6">B9</f>
        <v>用途</v>
      </c>
      <c r="R9" s="664" t="s">
        <v>14</v>
      </c>
      <c r="S9" s="665">
        <f t="shared" si="0"/>
        <v>95</v>
      </c>
      <c r="T9" s="664" t="s">
        <v>14</v>
      </c>
      <c r="U9" s="665">
        <f t="shared" si="1"/>
        <v>100</v>
      </c>
      <c r="V9" s="664" t="s">
        <v>14</v>
      </c>
      <c r="W9" s="665">
        <f t="shared" si="2"/>
        <v>100</v>
      </c>
      <c r="X9" s="666"/>
      <c r="Y9" s="3293" t="s">
        <v>1687</v>
      </c>
      <c r="Z9" s="50" t="str">
        <f t="shared" ref="Z9:Z15" si="7">Q9</f>
        <v>用途</v>
      </c>
      <c r="AA9" s="50">
        <f t="shared" si="3"/>
        <v>1.0526315789473684</v>
      </c>
      <c r="AB9" s="50">
        <f t="shared" si="4"/>
        <v>1</v>
      </c>
      <c r="AC9" s="799">
        <f t="shared" si="5"/>
        <v>1</v>
      </c>
    </row>
    <row r="10" spans="1:29" s="366" customFormat="1" ht="27">
      <c r="A10" s="363"/>
      <c r="B10" s="364" t="s">
        <v>1688</v>
      </c>
      <c r="C10" s="3097" t="s">
        <v>3557</v>
      </c>
      <c r="D10" s="119">
        <v>100</v>
      </c>
      <c r="E10" s="3097" t="s">
        <v>3570</v>
      </c>
      <c r="F10" s="119">
        <f>SUMIF(66:66,E10,67:67)-SUMIF(66:66,C10,67:67)+100</f>
        <v>102</v>
      </c>
      <c r="G10" s="3098" t="s">
        <v>3570</v>
      </c>
      <c r="H10" s="119">
        <f>SUMIF(66:66,G10,67:67)-SUMIF(66:66,C10,67:67)+100</f>
        <v>102</v>
      </c>
      <c r="I10" s="3097" t="s">
        <v>3599</v>
      </c>
      <c r="J10" s="119">
        <f>SUMIF(66:66,I10,67:67)-SUMIF(66:66,C10,67:67)+100</f>
        <v>101</v>
      </c>
      <c r="K10" s="38"/>
      <c r="L10" s="2483"/>
      <c r="M10" s="2484"/>
      <c r="N10" s="2484"/>
      <c r="O10" s="2484"/>
      <c r="P10" s="3386"/>
      <c r="Q10" s="530" t="str">
        <f t="shared" si="6"/>
        <v>土地使用年限（年）</v>
      </c>
      <c r="R10" s="664" t="s">
        <v>14</v>
      </c>
      <c r="S10" s="665">
        <f t="shared" si="0"/>
        <v>102</v>
      </c>
      <c r="T10" s="664" t="s">
        <v>14</v>
      </c>
      <c r="U10" s="665">
        <f t="shared" si="1"/>
        <v>102</v>
      </c>
      <c r="V10" s="664" t="s">
        <v>14</v>
      </c>
      <c r="W10" s="665">
        <f t="shared" si="2"/>
        <v>101</v>
      </c>
      <c r="X10" s="666"/>
      <c r="Y10" s="3293"/>
      <c r="Z10" s="50" t="str">
        <f t="shared" si="7"/>
        <v>土地使用年限（年）</v>
      </c>
      <c r="AA10" s="50">
        <f t="shared" si="3"/>
        <v>0.98039215686274506</v>
      </c>
      <c r="AB10" s="50">
        <f t="shared" si="4"/>
        <v>0.98039215686274506</v>
      </c>
      <c r="AC10" s="799">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86"/>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7">
        <v>2024</v>
      </c>
      <c r="H12" s="119">
        <f>SUMIF(71:71,G12,72:72)-SUMIF(71:71,C12,72:72)+100</f>
        <v>100</v>
      </c>
      <c r="I12" s="371">
        <v>2014</v>
      </c>
      <c r="J12" s="119">
        <f>SUMIF(71:71,I12,72:72)-SUMIF(71:71,C12,72:72)+100</f>
        <v>100</v>
      </c>
      <c r="K12" s="539"/>
      <c r="L12" s="2482"/>
      <c r="M12" s="2434"/>
      <c r="N12" s="2434"/>
      <c r="O12" s="2434"/>
      <c r="P12" s="3386"/>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6"/>
      <c r="M13" s="2481"/>
      <c r="N13" s="2481"/>
      <c r="O13" s="2481"/>
      <c r="P13" s="3386"/>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6"/>
      <c r="M14" s="2481"/>
      <c r="N14" s="2481"/>
      <c r="O14" s="2481"/>
      <c r="P14" s="3386"/>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799">
        <f t="shared" si="5"/>
        <v>1</v>
      </c>
    </row>
    <row r="15" spans="1:29" ht="15">
      <c r="A15" s="379" t="s">
        <v>1690</v>
      </c>
      <c r="B15" s="554" t="s">
        <v>1811</v>
      </c>
      <c r="C15" s="1808" t="str">
        <f>估价对象房地状况!C5</f>
        <v>较好</v>
      </c>
      <c r="D15" s="380">
        <v>100</v>
      </c>
      <c r="E15" s="383" t="s">
        <v>3561</v>
      </c>
      <c r="F15" s="380">
        <f>SUMIF(77:77,E16,78:78)-SUMIF(77:77,C16,78:78)+100</f>
        <v>100</v>
      </c>
      <c r="G15" s="381" t="s">
        <v>3561</v>
      </c>
      <c r="H15" s="380">
        <f>SUMIF(77:77,G16,78:78)-SUMIF(77:77,C16,78:78)+100</f>
        <v>100</v>
      </c>
      <c r="I15" s="381" t="s">
        <v>3572</v>
      </c>
      <c r="J15" s="380">
        <f>SUMIF(77:77,I16,78:78)-SUMIF(77:77,C16,78:78)+100</f>
        <v>95</v>
      </c>
      <c r="K15" s="540">
        <v>5</v>
      </c>
      <c r="L15" s="2486"/>
      <c r="M15" s="2481"/>
      <c r="N15" s="2481"/>
      <c r="O15" s="2481"/>
      <c r="P15" s="3392" t="s">
        <v>1691</v>
      </c>
      <c r="Q15" s="1260" t="str">
        <f t="shared" si="6"/>
        <v>办公集聚程度</v>
      </c>
      <c r="R15" s="667" t="s">
        <v>14</v>
      </c>
      <c r="S15" s="668">
        <f t="shared" si="0"/>
        <v>100</v>
      </c>
      <c r="T15" s="667" t="s">
        <v>14</v>
      </c>
      <c r="U15" s="668">
        <f t="shared" si="1"/>
        <v>100</v>
      </c>
      <c r="V15" s="667" t="s">
        <v>14</v>
      </c>
      <c r="W15" s="668">
        <f t="shared" si="2"/>
        <v>95</v>
      </c>
      <c r="X15" s="1262"/>
      <c r="Y15" s="3394" t="s">
        <v>1691</v>
      </c>
      <c r="Z15" s="1261" t="str">
        <f t="shared" si="7"/>
        <v>办公集聚程度</v>
      </c>
      <c r="AA15" s="1261">
        <f t="shared" si="3"/>
        <v>1</v>
      </c>
      <c r="AB15" s="1261">
        <f t="shared" si="4"/>
        <v>1</v>
      </c>
      <c r="AC15" s="1809">
        <f t="shared" si="5"/>
        <v>1.0526315789473684</v>
      </c>
    </row>
    <row r="16" spans="1:29" ht="15">
      <c r="A16" s="367"/>
      <c r="B16" s="555"/>
      <c r="C16" s="1755" t="s">
        <v>3561</v>
      </c>
      <c r="D16" s="387"/>
      <c r="E16" s="386" t="s">
        <v>3561</v>
      </c>
      <c r="F16" s="387"/>
      <c r="G16" s="1755" t="s">
        <v>3561</v>
      </c>
      <c r="H16" s="389"/>
      <c r="I16" s="386" t="s">
        <v>3572</v>
      </c>
      <c r="J16" s="387"/>
      <c r="K16" s="541"/>
      <c r="L16" s="2486"/>
      <c r="M16" s="2481"/>
      <c r="N16" s="2481"/>
      <c r="O16" s="2481"/>
      <c r="P16" s="3393"/>
      <c r="Q16" s="1260"/>
      <c r="R16" s="667"/>
      <c r="S16" s="668"/>
      <c r="T16" s="667"/>
      <c r="U16" s="668"/>
      <c r="V16" s="667"/>
      <c r="W16" s="668"/>
      <c r="X16" s="1262"/>
      <c r="Y16" s="3395"/>
      <c r="Z16" s="1261"/>
      <c r="AA16" s="1261">
        <v>1</v>
      </c>
      <c r="AB16" s="1261">
        <v>1</v>
      </c>
      <c r="AC16" s="1809">
        <v>1</v>
      </c>
    </row>
    <row r="17" spans="1:29" ht="15">
      <c r="A17" s="367"/>
      <c r="B17" s="556" t="s">
        <v>1259</v>
      </c>
      <c r="C17" s="1810" t="str">
        <f>估价对象房地状况!C6</f>
        <v>较好</v>
      </c>
      <c r="D17" s="389">
        <v>100</v>
      </c>
      <c r="E17" s="393" t="s">
        <v>3561</v>
      </c>
      <c r="F17" s="389">
        <f>SUMIF(79:79,E18,80:80)-SUMIF(79:79,C18,80:80)+100</f>
        <v>100</v>
      </c>
      <c r="G17" s="391" t="s">
        <v>3561</v>
      </c>
      <c r="H17" s="394">
        <f>SUMIF(79:79,G18,80:80)-SUMIF(79:79,C18,80:80)+100</f>
        <v>100</v>
      </c>
      <c r="I17" s="391" t="s">
        <v>3561</v>
      </c>
      <c r="J17" s="394">
        <f>SUMIF(79:79,I18,80:80)-SUMIF(79:79,C18,80:80)+100</f>
        <v>100</v>
      </c>
      <c r="K17" s="540">
        <v>2</v>
      </c>
      <c r="L17" s="2486"/>
      <c r="M17" s="2481"/>
      <c r="N17" s="2481"/>
      <c r="O17" s="2481"/>
      <c r="P17" s="3393"/>
      <c r="Q17" s="1260" t="str">
        <f>B17</f>
        <v>交通便捷度</v>
      </c>
      <c r="R17" s="667" t="s">
        <v>14</v>
      </c>
      <c r="S17" s="668">
        <f>F17</f>
        <v>100</v>
      </c>
      <c r="T17" s="667" t="s">
        <v>14</v>
      </c>
      <c r="U17" s="668">
        <f>H17</f>
        <v>100</v>
      </c>
      <c r="V17" s="667" t="s">
        <v>14</v>
      </c>
      <c r="W17" s="668">
        <f>J17</f>
        <v>100</v>
      </c>
      <c r="X17" s="1262"/>
      <c r="Y17" s="3395"/>
      <c r="Z17" s="1261" t="str">
        <f>Q17</f>
        <v>交通便捷度</v>
      </c>
      <c r="AA17" s="1261">
        <f t="shared" si="3"/>
        <v>1</v>
      </c>
      <c r="AB17" s="1261">
        <f t="shared" si="4"/>
        <v>1</v>
      </c>
      <c r="AC17" s="1809">
        <f t="shared" si="5"/>
        <v>1</v>
      </c>
    </row>
    <row r="18" spans="1:29" ht="15">
      <c r="A18" s="367"/>
      <c r="B18" s="401"/>
      <c r="C18" s="1811" t="s">
        <v>3561</v>
      </c>
      <c r="D18" s="389"/>
      <c r="E18" s="1753" t="s">
        <v>3561</v>
      </c>
      <c r="F18" s="389"/>
      <c r="G18" s="1754" t="s">
        <v>3561</v>
      </c>
      <c r="H18" s="387"/>
      <c r="I18" s="1754" t="s">
        <v>3561</v>
      </c>
      <c r="J18" s="387"/>
      <c r="K18" s="541"/>
      <c r="L18" s="2486"/>
      <c r="M18" s="2481"/>
      <c r="N18" s="2481"/>
      <c r="O18" s="2481"/>
      <c r="P18" s="3393"/>
      <c r="Q18" s="1260"/>
      <c r="R18" s="667"/>
      <c r="S18" s="668"/>
      <c r="T18" s="667"/>
      <c r="U18" s="668"/>
      <c r="V18" s="667"/>
      <c r="W18" s="668"/>
      <c r="X18" s="1262"/>
      <c r="Y18" s="3395"/>
      <c r="Z18" s="1261"/>
      <c r="AA18" s="1261">
        <v>1</v>
      </c>
      <c r="AB18" s="1261">
        <v>1</v>
      </c>
      <c r="AC18" s="1809">
        <v>1</v>
      </c>
    </row>
    <row r="19" spans="1:29" ht="15">
      <c r="A19" s="367"/>
      <c r="B19" s="556" t="s">
        <v>1812</v>
      </c>
      <c r="C19" s="1810" t="str">
        <f>估价对象房地状况!C7</f>
        <v>较好</v>
      </c>
      <c r="D19" s="394">
        <v>100</v>
      </c>
      <c r="E19" s="398" t="s">
        <v>3561</v>
      </c>
      <c r="F19" s="394">
        <f>SUMIF(81:81,E20,82:82)-SUMIF(81:81,C20,82:82)+100</f>
        <v>100</v>
      </c>
      <c r="G19" s="396" t="s">
        <v>3561</v>
      </c>
      <c r="H19" s="389">
        <f>SUMIF(81:81,G20,82:82)-SUMIF(81:81,C20,82:82)+100</f>
        <v>100</v>
      </c>
      <c r="I19" s="396" t="s">
        <v>3561</v>
      </c>
      <c r="J19" s="389">
        <f>SUMIF(81:81,I20,82:82)-SUMIF(81:81,C20,82:82)+100</f>
        <v>100</v>
      </c>
      <c r="K19" s="540">
        <v>5</v>
      </c>
      <c r="L19" s="2486"/>
      <c r="M19" s="2481"/>
      <c r="N19" s="2481"/>
      <c r="O19" s="2481"/>
      <c r="P19" s="3393"/>
      <c r="Q19" s="1260" t="str">
        <f>B19</f>
        <v>公共配套设施</v>
      </c>
      <c r="R19" s="667" t="s">
        <v>14</v>
      </c>
      <c r="S19" s="668">
        <f>F19</f>
        <v>100</v>
      </c>
      <c r="T19" s="667" t="s">
        <v>14</v>
      </c>
      <c r="U19" s="668">
        <f>H19</f>
        <v>100</v>
      </c>
      <c r="V19" s="667" t="s">
        <v>14</v>
      </c>
      <c r="W19" s="668">
        <f>J19</f>
        <v>100</v>
      </c>
      <c r="X19" s="1262"/>
      <c r="Y19" s="3395"/>
      <c r="Z19" s="1261" t="str">
        <f>Q19</f>
        <v>公共配套设施</v>
      </c>
      <c r="AA19" s="1261">
        <f t="shared" si="3"/>
        <v>1</v>
      </c>
      <c r="AB19" s="1261">
        <f t="shared" si="4"/>
        <v>1</v>
      </c>
      <c r="AC19" s="1809">
        <f t="shared" si="5"/>
        <v>1</v>
      </c>
    </row>
    <row r="20" spans="1:29" ht="15">
      <c r="A20" s="367"/>
      <c r="B20" s="401"/>
      <c r="C20" s="1755" t="s">
        <v>3561</v>
      </c>
      <c r="D20" s="387"/>
      <c r="E20" s="1748" t="s">
        <v>3561</v>
      </c>
      <c r="F20" s="387"/>
      <c r="G20" s="1749" t="s">
        <v>3561</v>
      </c>
      <c r="H20" s="387"/>
      <c r="I20" s="1749" t="s">
        <v>3561</v>
      </c>
      <c r="J20" s="387"/>
      <c r="K20" s="541"/>
      <c r="L20" s="2486"/>
      <c r="M20" s="2481"/>
      <c r="N20" s="2481"/>
      <c r="O20" s="2481"/>
      <c r="P20" s="3393"/>
      <c r="Q20" s="1260"/>
      <c r="R20" s="667"/>
      <c r="S20" s="668"/>
      <c r="T20" s="667"/>
      <c r="U20" s="668"/>
      <c r="V20" s="667"/>
      <c r="W20" s="668"/>
      <c r="X20" s="1262"/>
      <c r="Y20" s="3395"/>
      <c r="Z20" s="1261"/>
      <c r="AA20" s="1261">
        <v>1</v>
      </c>
      <c r="AB20" s="1261">
        <v>1</v>
      </c>
      <c r="AC20" s="1809">
        <v>1</v>
      </c>
    </row>
    <row r="21" spans="1:29" ht="15">
      <c r="A21" s="367"/>
      <c r="B21" s="557" t="s">
        <v>1813</v>
      </c>
      <c r="C21" s="1810" t="str">
        <f>估价对象房地状况!C8</f>
        <v>七通</v>
      </c>
      <c r="D21" s="389">
        <v>100</v>
      </c>
      <c r="E21" s="398" t="s">
        <v>3571</v>
      </c>
      <c r="F21" s="394">
        <f>SUMIF(83:83,E22,84:84)-SUMIF(83:83,C22,84:84)+100</f>
        <v>100</v>
      </c>
      <c r="G21" s="396" t="s">
        <v>3571</v>
      </c>
      <c r="H21" s="389">
        <f>SUMIF(83:83,G22,84:84)-SUMIF(83:83,C22,84:84)+100</f>
        <v>100</v>
      </c>
      <c r="I21" s="396" t="s">
        <v>3571</v>
      </c>
      <c r="J21" s="389">
        <f>SUMIF(83:83,I22,84:84)-SUMIF(83:83,C22,84:84)+100</f>
        <v>100</v>
      </c>
      <c r="K21" s="540">
        <v>2</v>
      </c>
      <c r="L21" s="2486"/>
      <c r="M21" s="2481"/>
      <c r="N21" s="2481"/>
      <c r="O21" s="2481"/>
      <c r="P21" s="3393"/>
      <c r="Q21" s="1260" t="str">
        <f>B21</f>
        <v>基础设施水平</v>
      </c>
      <c r="R21" s="667" t="s">
        <v>14</v>
      </c>
      <c r="S21" s="668">
        <f>F21</f>
        <v>100</v>
      </c>
      <c r="T21" s="667" t="s">
        <v>14</v>
      </c>
      <c r="U21" s="668">
        <f>H21</f>
        <v>100</v>
      </c>
      <c r="V21" s="667" t="s">
        <v>14</v>
      </c>
      <c r="W21" s="668">
        <f>J21</f>
        <v>100</v>
      </c>
      <c r="X21" s="1262"/>
      <c r="Y21" s="3395"/>
      <c r="Z21" s="1261" t="str">
        <f>Q21</f>
        <v>基础设施水平</v>
      </c>
      <c r="AA21" s="1261">
        <f t="shared" ref="AA21" si="8">D21/F21</f>
        <v>1</v>
      </c>
      <c r="AB21" s="1261">
        <f t="shared" ref="AB21" si="9">D21/H21</f>
        <v>1</v>
      </c>
      <c r="AC21" s="1809">
        <f t="shared" ref="AC21" si="10">D21/J21</f>
        <v>1</v>
      </c>
    </row>
    <row r="22" spans="1:29" ht="15">
      <c r="A22" s="367"/>
      <c r="B22" s="557"/>
      <c r="C22" s="1811" t="s">
        <v>3571</v>
      </c>
      <c r="D22" s="387"/>
      <c r="E22" s="386" t="s">
        <v>3571</v>
      </c>
      <c r="F22" s="387"/>
      <c r="G22" s="1755" t="s">
        <v>3571</v>
      </c>
      <c r="H22" s="387"/>
      <c r="I22" s="1755" t="s">
        <v>3571</v>
      </c>
      <c r="J22" s="387"/>
      <c r="K22" s="1061"/>
      <c r="L22" s="2486"/>
      <c r="M22" s="2481"/>
      <c r="N22" s="2481"/>
      <c r="O22" s="2481"/>
      <c r="P22" s="3393"/>
      <c r="Q22" s="1260"/>
      <c r="R22" s="667"/>
      <c r="S22" s="668"/>
      <c r="T22" s="667"/>
      <c r="U22" s="668"/>
      <c r="V22" s="667"/>
      <c r="W22" s="668"/>
      <c r="X22" s="1262"/>
      <c r="Y22" s="3395"/>
      <c r="Z22" s="1261"/>
      <c r="AA22" s="1261">
        <v>1</v>
      </c>
      <c r="AB22" s="1261">
        <v>1</v>
      </c>
      <c r="AC22" s="1809">
        <v>1</v>
      </c>
    </row>
    <row r="23" spans="1:29" ht="15">
      <c r="A23" s="367"/>
      <c r="B23" s="556" t="s">
        <v>1814</v>
      </c>
      <c r="C23" s="1810" t="str">
        <f>估价对象房地状况!C9</f>
        <v>较好</v>
      </c>
      <c r="D23" s="389">
        <v>100</v>
      </c>
      <c r="E23" s="393" t="s">
        <v>3572</v>
      </c>
      <c r="F23" s="389">
        <f>SUMIF(85:85,E24,86:86)-SUMIF(85:85,C24,86:86)+100</f>
        <v>100</v>
      </c>
      <c r="G23" s="391" t="s">
        <v>3561</v>
      </c>
      <c r="H23" s="389">
        <f>SUMIF(85:85,G24,86:86)-SUMIF(85:85,C24,86:86)+100</f>
        <v>100</v>
      </c>
      <c r="I23" s="391" t="s">
        <v>3561</v>
      </c>
      <c r="J23" s="389">
        <f>SUMIF(85:85,I24,86:86)-SUMIF(85:85,C24,86:86)+100</f>
        <v>100</v>
      </c>
      <c r="K23" s="540">
        <v>5</v>
      </c>
      <c r="L23" s="2486"/>
      <c r="M23" s="2481"/>
      <c r="N23" s="2481"/>
      <c r="O23" s="2481"/>
      <c r="P23" s="3393"/>
      <c r="Q23" s="1260" t="str">
        <f>B23</f>
        <v>环境质量</v>
      </c>
      <c r="R23" s="667" t="s">
        <v>14</v>
      </c>
      <c r="S23" s="668">
        <f>F23</f>
        <v>100</v>
      </c>
      <c r="T23" s="667" t="s">
        <v>14</v>
      </c>
      <c r="U23" s="668">
        <f>H23</f>
        <v>100</v>
      </c>
      <c r="V23" s="667" t="s">
        <v>14</v>
      </c>
      <c r="W23" s="668">
        <f>J23</f>
        <v>100</v>
      </c>
      <c r="X23" s="1262"/>
      <c r="Y23" s="3395"/>
      <c r="Z23" s="1261" t="str">
        <f>Q23</f>
        <v>环境质量</v>
      </c>
      <c r="AA23" s="1261">
        <f t="shared" si="3"/>
        <v>1</v>
      </c>
      <c r="AB23" s="1261">
        <f t="shared" si="4"/>
        <v>1</v>
      </c>
      <c r="AC23" s="1809">
        <f t="shared" si="5"/>
        <v>1</v>
      </c>
    </row>
    <row r="24" spans="1:29" ht="15">
      <c r="A24" s="367"/>
      <c r="B24" s="557"/>
      <c r="C24" s="1755" t="s">
        <v>3561</v>
      </c>
      <c r="D24" s="387"/>
      <c r="E24" s="1748" t="s">
        <v>3561</v>
      </c>
      <c r="F24" s="387"/>
      <c r="G24" s="1749" t="s">
        <v>3561</v>
      </c>
      <c r="H24" s="387"/>
      <c r="I24" s="1749" t="s">
        <v>3561</v>
      </c>
      <c r="J24" s="387"/>
      <c r="K24" s="541"/>
      <c r="L24" s="2486"/>
      <c r="M24" s="2481"/>
      <c r="N24" s="2481"/>
      <c r="O24" s="2481"/>
      <c r="P24" s="3393"/>
      <c r="Q24" s="1260"/>
      <c r="R24" s="667"/>
      <c r="S24" s="668"/>
      <c r="T24" s="667"/>
      <c r="U24" s="668"/>
      <c r="V24" s="667"/>
      <c r="W24" s="668"/>
      <c r="X24" s="1262"/>
      <c r="Y24" s="3395"/>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6"/>
      <c r="M25" s="2481"/>
      <c r="N25" s="2481"/>
      <c r="O25" s="2481"/>
      <c r="P25" s="3393"/>
      <c r="Q25" s="1260" t="str">
        <f>B25</f>
        <v>毗邻道路的类型与等级</v>
      </c>
      <c r="R25" s="667" t="s">
        <v>14</v>
      </c>
      <c r="S25" s="668">
        <f>F25</f>
        <v>100</v>
      </c>
      <c r="T25" s="667" t="s">
        <v>14</v>
      </c>
      <c r="U25" s="668">
        <f>H25</f>
        <v>100</v>
      </c>
      <c r="V25" s="667" t="s">
        <v>14</v>
      </c>
      <c r="W25" s="668">
        <f>J25</f>
        <v>100</v>
      </c>
      <c r="X25" s="1262"/>
      <c r="Y25" s="3395"/>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6"/>
      <c r="M26" s="2481"/>
      <c r="N26" s="2481"/>
      <c r="O26" s="2481"/>
      <c r="P26" s="3393"/>
      <c r="Q26" s="1260"/>
      <c r="R26" s="667"/>
      <c r="S26" s="668"/>
      <c r="T26" s="667"/>
      <c r="U26" s="668"/>
      <c r="V26" s="667"/>
      <c r="W26" s="668"/>
      <c r="X26" s="1262"/>
      <c r="Y26" s="3395"/>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393"/>
      <c r="Q27" s="1260" t="str">
        <f t="shared" ref="Q27:Q47" si="11">B27</f>
        <v>楼层</v>
      </c>
      <c r="R27" s="667" t="s">
        <v>14</v>
      </c>
      <c r="S27" s="668">
        <f>F27</f>
        <v>100</v>
      </c>
      <c r="T27" s="667" t="s">
        <v>14</v>
      </c>
      <c r="U27" s="668">
        <f>H27</f>
        <v>100</v>
      </c>
      <c r="V27" s="667" t="s">
        <v>14</v>
      </c>
      <c r="W27" s="668">
        <f>J27</f>
        <v>100</v>
      </c>
      <c r="X27" s="1262"/>
      <c r="Y27" s="3395"/>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2"/>
      <c r="M28" s="2434"/>
      <c r="N28" s="2434"/>
      <c r="O28" s="2434"/>
      <c r="P28" s="3393"/>
      <c r="Q28" s="530" t="str">
        <f t="shared" si="11"/>
        <v>朝向</v>
      </c>
      <c r="R28" s="664" t="s">
        <v>14</v>
      </c>
      <c r="S28" s="665">
        <f>F28</f>
        <v>100</v>
      </c>
      <c r="T28" s="664" t="s">
        <v>14</v>
      </c>
      <c r="U28" s="665">
        <f>H28</f>
        <v>100</v>
      </c>
      <c r="V28" s="664" t="s">
        <v>14</v>
      </c>
      <c r="W28" s="665">
        <f>J28</f>
        <v>100</v>
      </c>
      <c r="X28" s="666"/>
      <c r="Y28" s="3395"/>
      <c r="Z28" s="50" t="str">
        <f>Q28</f>
        <v>朝向</v>
      </c>
      <c r="AA28" s="1261">
        <f>D28/F28</f>
        <v>1</v>
      </c>
      <c r="AB28" s="1261">
        <f>D28/H28</f>
        <v>1</v>
      </c>
      <c r="AC28" s="1809">
        <f>D28/J28</f>
        <v>1</v>
      </c>
    </row>
    <row r="29" spans="1:29" ht="15.75" thickBot="1">
      <c r="A29" s="367"/>
      <c r="B29" s="559" t="s">
        <v>3560</v>
      </c>
      <c r="C29" s="1760" t="s">
        <v>3561</v>
      </c>
      <c r="D29" s="374">
        <v>100</v>
      </c>
      <c r="E29" s="371" t="s">
        <v>3561</v>
      </c>
      <c r="F29" s="374">
        <f>SUMIF(93:93,E29,94:94)-SUMIF(93:93,C29,94:94)+100</f>
        <v>100</v>
      </c>
      <c r="G29" s="1807" t="s">
        <v>3561</v>
      </c>
      <c r="H29" s="374">
        <f>SUMIF(93:93,G29,94:94)-SUMIF(93:93,C29,94:94)+100</f>
        <v>100</v>
      </c>
      <c r="I29" s="371" t="s">
        <v>3561</v>
      </c>
      <c r="J29" s="374">
        <f>SUMIF(93:93,I29,94:94)-SUMIF(93:93,C29,94:94)+100</f>
        <v>100</v>
      </c>
      <c r="K29" s="539"/>
      <c r="L29" s="2486"/>
      <c r="M29" s="2481"/>
      <c r="N29" s="2481"/>
      <c r="O29" s="2481"/>
      <c r="P29" s="3393"/>
      <c r="Q29" s="1260" t="str">
        <f t="shared" si="11"/>
        <v>商业繁华度</v>
      </c>
      <c r="R29" s="667" t="s">
        <v>14</v>
      </c>
      <c r="S29" s="668">
        <f t="shared" ref="S29:S47" si="12">F29</f>
        <v>100</v>
      </c>
      <c r="T29" s="667" t="s">
        <v>14</v>
      </c>
      <c r="U29" s="668">
        <f t="shared" ref="U29:U47" si="13">H29</f>
        <v>100</v>
      </c>
      <c r="V29" s="667" t="s">
        <v>14</v>
      </c>
      <c r="W29" s="668">
        <f t="shared" ref="W29:W47" si="14">J29</f>
        <v>100</v>
      </c>
      <c r="X29" s="1262"/>
      <c r="Y29" s="3395"/>
      <c r="Z29" s="1261" t="str">
        <f t="shared" ref="Z29:Z47" si="15">Q29</f>
        <v>商业繁华度</v>
      </c>
      <c r="AA29" s="1261">
        <f t="shared" si="3"/>
        <v>1</v>
      </c>
      <c r="AB29" s="1261">
        <f t="shared" si="4"/>
        <v>1</v>
      </c>
      <c r="AC29" s="1809">
        <f t="shared" si="5"/>
        <v>1</v>
      </c>
    </row>
    <row r="30" spans="1:29" ht="15">
      <c r="A30" s="367"/>
      <c r="B30" s="1096"/>
      <c r="C30" s="1759"/>
      <c r="D30" s="374">
        <v>100</v>
      </c>
      <c r="E30" s="371"/>
      <c r="F30" s="374">
        <f>SUMIF(95:95,E30,96:96)-SUMIF(95:95,C30,96:96)+100</f>
        <v>100</v>
      </c>
      <c r="G30" s="1807"/>
      <c r="H30" s="374">
        <f>SUMIF(95:95,G30,96:96)-SUMIF(95:95,C30,96:96)+100</f>
        <v>100</v>
      </c>
      <c r="I30" s="371"/>
      <c r="J30" s="374">
        <f>SUMIF(95:95,I30,96:96)-SUMIF(95:95,C30,96:96)+100</f>
        <v>100</v>
      </c>
      <c r="K30" s="539"/>
      <c r="L30" s="2486"/>
      <c r="M30" s="2481"/>
      <c r="N30" s="2481"/>
      <c r="O30" s="2481"/>
      <c r="P30" s="3393"/>
      <c r="Q30" s="1260">
        <f t="shared" si="11"/>
        <v>0</v>
      </c>
      <c r="R30" s="667" t="s">
        <v>14</v>
      </c>
      <c r="S30" s="668">
        <f t="shared" si="12"/>
        <v>100</v>
      </c>
      <c r="T30" s="667" t="s">
        <v>14</v>
      </c>
      <c r="U30" s="668">
        <f t="shared" si="13"/>
        <v>100</v>
      </c>
      <c r="V30" s="667" t="s">
        <v>14</v>
      </c>
      <c r="W30" s="668">
        <f t="shared" si="14"/>
        <v>100</v>
      </c>
      <c r="X30" s="1262"/>
      <c r="Y30" s="3395"/>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6"/>
      <c r="M31" s="2481"/>
      <c r="N31" s="2481"/>
      <c r="O31" s="2481"/>
      <c r="P31" s="3393"/>
      <c r="Q31" s="1260">
        <f t="shared" si="11"/>
        <v>0</v>
      </c>
      <c r="R31" s="667" t="s">
        <v>14</v>
      </c>
      <c r="S31" s="668">
        <f t="shared" si="12"/>
        <v>100</v>
      </c>
      <c r="T31" s="667" t="s">
        <v>14</v>
      </c>
      <c r="U31" s="668">
        <f t="shared" si="13"/>
        <v>100</v>
      </c>
      <c r="V31" s="667" t="s">
        <v>14</v>
      </c>
      <c r="W31" s="668">
        <f t="shared" si="14"/>
        <v>100</v>
      </c>
      <c r="X31" s="1262"/>
      <c r="Y31" s="3395"/>
      <c r="Z31" s="1261">
        <f t="shared" si="15"/>
        <v>0</v>
      </c>
      <c r="AA31" s="1261">
        <f t="shared" si="3"/>
        <v>1</v>
      </c>
      <c r="AB31" s="1261">
        <f t="shared" si="4"/>
        <v>1</v>
      </c>
      <c r="AC31" s="1809">
        <f t="shared" si="5"/>
        <v>1</v>
      </c>
    </row>
    <row r="32" spans="1:29" ht="15.75" thickBot="1">
      <c r="A32" s="375"/>
      <c r="B32" s="559"/>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6"/>
      <c r="M32" s="2481"/>
      <c r="N32" s="2481"/>
      <c r="O32" s="2481"/>
      <c r="P32" s="3393"/>
      <c r="Q32" s="1260">
        <f t="shared" si="11"/>
        <v>0</v>
      </c>
      <c r="R32" s="667" t="s">
        <v>14</v>
      </c>
      <c r="S32" s="668">
        <f t="shared" si="12"/>
        <v>100</v>
      </c>
      <c r="T32" s="667" t="s">
        <v>14</v>
      </c>
      <c r="U32" s="668">
        <f t="shared" si="13"/>
        <v>100</v>
      </c>
      <c r="V32" s="667" t="s">
        <v>14</v>
      </c>
      <c r="W32" s="668">
        <f t="shared" si="14"/>
        <v>100</v>
      </c>
      <c r="X32" s="1262"/>
      <c r="Y32" s="3395"/>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6"/>
      <c r="M33" s="2481"/>
      <c r="N33" s="2481"/>
      <c r="O33" s="2481"/>
      <c r="P33" s="3396" t="s">
        <v>1696</v>
      </c>
      <c r="Q33" s="1260" t="str">
        <f t="shared" si="11"/>
        <v>建筑类型</v>
      </c>
      <c r="R33" s="667" t="s">
        <v>14</v>
      </c>
      <c r="S33" s="668">
        <f t="shared" si="12"/>
        <v>100</v>
      </c>
      <c r="T33" s="667" t="s">
        <v>14</v>
      </c>
      <c r="U33" s="668">
        <f t="shared" si="13"/>
        <v>100</v>
      </c>
      <c r="V33" s="667" t="s">
        <v>14</v>
      </c>
      <c r="W33" s="668">
        <f t="shared" si="14"/>
        <v>100</v>
      </c>
      <c r="X33" s="1262"/>
      <c r="Y33" s="3399" t="s">
        <v>1696</v>
      </c>
      <c r="Z33" s="1261" t="str">
        <f t="shared" si="15"/>
        <v>建筑类型</v>
      </c>
      <c r="AA33" s="1261">
        <f t="shared" si="3"/>
        <v>1</v>
      </c>
      <c r="AB33" s="1261">
        <f t="shared" si="4"/>
        <v>1</v>
      </c>
      <c r="AC33" s="1809">
        <f t="shared" si="5"/>
        <v>1</v>
      </c>
    </row>
    <row r="34" spans="1:29" s="408" customFormat="1" ht="15">
      <c r="A34" s="406"/>
      <c r="B34" s="364" t="s">
        <v>1697</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5"/>
      <c r="M34" s="2487"/>
      <c r="N34" s="2487"/>
      <c r="O34" s="2487"/>
      <c r="P34" s="3397"/>
      <c r="Q34" s="531" t="str">
        <f t="shared" si="11"/>
        <v>项目建筑规模</v>
      </c>
      <c r="R34" s="669" t="s">
        <v>14</v>
      </c>
      <c r="S34" s="670">
        <f t="shared" si="12"/>
        <v>98</v>
      </c>
      <c r="T34" s="669" t="s">
        <v>14</v>
      </c>
      <c r="U34" s="670">
        <f t="shared" si="13"/>
        <v>100</v>
      </c>
      <c r="V34" s="669" t="s">
        <v>14</v>
      </c>
      <c r="W34" s="670">
        <f t="shared" si="14"/>
        <v>98</v>
      </c>
      <c r="X34" s="671"/>
      <c r="Y34" s="3399"/>
      <c r="Z34" s="672" t="str">
        <f t="shared" si="15"/>
        <v>项目建筑规模</v>
      </c>
      <c r="AA34" s="1261">
        <f t="shared" si="3"/>
        <v>1.0204081632653061</v>
      </c>
      <c r="AB34" s="1261">
        <f t="shared" si="4"/>
        <v>1</v>
      </c>
      <c r="AC34" s="1809">
        <f t="shared" si="5"/>
        <v>1.0204081632653061</v>
      </c>
    </row>
    <row r="35" spans="1:29" ht="15">
      <c r="A35" s="409"/>
      <c r="B35" s="364" t="s">
        <v>1698</v>
      </c>
      <c r="C35" s="399" t="s">
        <v>3552</v>
      </c>
      <c r="D35" s="374">
        <v>100</v>
      </c>
      <c r="E35" s="399" t="s">
        <v>3552</v>
      </c>
      <c r="F35" s="400">
        <f>SUMIF(106:106,E35,107:107)-SUMIF(106:106,C35,107:107)+100</f>
        <v>100</v>
      </c>
      <c r="G35" s="399" t="s">
        <v>3552</v>
      </c>
      <c r="H35" s="374">
        <f>SUMIF(106:106,G35,107:107)-SUMIF(106:106,C35,107:107)+100</f>
        <v>100</v>
      </c>
      <c r="I35" s="399" t="s">
        <v>3552</v>
      </c>
      <c r="J35" s="374">
        <f>SUMIF(106:106,I35,107:107)-SUMIF(106:106,C35,107:107)+100</f>
        <v>100</v>
      </c>
      <c r="K35" s="538">
        <v>2</v>
      </c>
      <c r="L35" s="2486"/>
      <c r="M35" s="2481"/>
      <c r="N35" s="2481"/>
      <c r="O35" s="2481"/>
      <c r="P35" s="3397"/>
      <c r="Q35" s="1260" t="str">
        <f t="shared" si="11"/>
        <v>建筑结构</v>
      </c>
      <c r="R35" s="667" t="s">
        <v>14</v>
      </c>
      <c r="S35" s="668">
        <f t="shared" si="12"/>
        <v>100</v>
      </c>
      <c r="T35" s="667" t="s">
        <v>14</v>
      </c>
      <c r="U35" s="668">
        <f t="shared" si="13"/>
        <v>100</v>
      </c>
      <c r="V35" s="667" t="s">
        <v>14</v>
      </c>
      <c r="W35" s="668">
        <f t="shared" si="14"/>
        <v>100</v>
      </c>
      <c r="X35" s="1262"/>
      <c r="Y35" s="3399"/>
      <c r="Z35" s="1261" t="str">
        <f t="shared" si="15"/>
        <v>建筑结构</v>
      </c>
      <c r="AA35" s="1261">
        <f t="shared" si="3"/>
        <v>1</v>
      </c>
      <c r="AB35" s="1261">
        <f t="shared" si="4"/>
        <v>1</v>
      </c>
      <c r="AC35" s="1809">
        <f t="shared" si="5"/>
        <v>1</v>
      </c>
    </row>
    <row r="36" spans="1:29" ht="15">
      <c r="A36" s="409"/>
      <c r="B36" s="364" t="s">
        <v>1785</v>
      </c>
      <c r="C36" s="399" t="s">
        <v>3562</v>
      </c>
      <c r="D36" s="374">
        <v>100</v>
      </c>
      <c r="E36" s="399" t="s">
        <v>3562</v>
      </c>
      <c r="F36" s="400">
        <f>SUMIF(108:108,E36,109:109)-SUMIF(108:108,C36,109:109)+100</f>
        <v>100</v>
      </c>
      <c r="G36" s="399" t="s">
        <v>3562</v>
      </c>
      <c r="H36" s="374">
        <f>SUMIF(108:108,G36,109:109)-SUMIF(108:108,C36,109:109)+100</f>
        <v>100</v>
      </c>
      <c r="I36" s="399" t="s">
        <v>3562</v>
      </c>
      <c r="J36" s="374">
        <f>SUMIF(108:108,I36,109:109)-SUMIF(108:108,C36,109:109)+100</f>
        <v>100</v>
      </c>
      <c r="K36" s="538">
        <v>2</v>
      </c>
      <c r="L36" s="2486"/>
      <c r="M36" s="2481"/>
      <c r="N36" s="2481"/>
      <c r="O36" s="2481"/>
      <c r="P36" s="3397"/>
      <c r="Q36" s="1260" t="str">
        <f t="shared" si="11"/>
        <v>公共部分装修</v>
      </c>
      <c r="R36" s="667" t="s">
        <v>14</v>
      </c>
      <c r="S36" s="668">
        <f t="shared" si="12"/>
        <v>100</v>
      </c>
      <c r="T36" s="667" t="s">
        <v>14</v>
      </c>
      <c r="U36" s="668">
        <f t="shared" si="13"/>
        <v>100</v>
      </c>
      <c r="V36" s="667" t="s">
        <v>14</v>
      </c>
      <c r="W36" s="668">
        <f t="shared" si="14"/>
        <v>100</v>
      </c>
      <c r="X36" s="1262"/>
      <c r="Y36" s="3399"/>
      <c r="Z36" s="1261" t="str">
        <f t="shared" si="15"/>
        <v>公共部分装修</v>
      </c>
      <c r="AA36" s="1261">
        <f t="shared" si="3"/>
        <v>1</v>
      </c>
      <c r="AB36" s="1261">
        <f t="shared" si="4"/>
        <v>1</v>
      </c>
      <c r="AC36" s="1809">
        <f t="shared" si="5"/>
        <v>1</v>
      </c>
    </row>
    <row r="37" spans="1:29" ht="15">
      <c r="A37" s="409"/>
      <c r="B37" s="364" t="s">
        <v>1786</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6"/>
      <c r="M37" s="2481"/>
      <c r="N37" s="2481"/>
      <c r="O37" s="2481"/>
      <c r="P37" s="3397"/>
      <c r="Q37" s="1260" t="str">
        <f t="shared" si="11"/>
        <v>成新度</v>
      </c>
      <c r="R37" s="667" t="s">
        <v>14</v>
      </c>
      <c r="S37" s="668">
        <f t="shared" si="12"/>
        <v>100</v>
      </c>
      <c r="T37" s="667" t="s">
        <v>14</v>
      </c>
      <c r="U37" s="668">
        <f t="shared" si="13"/>
        <v>100</v>
      </c>
      <c r="V37" s="667" t="s">
        <v>14</v>
      </c>
      <c r="W37" s="668">
        <f t="shared" si="14"/>
        <v>95</v>
      </c>
      <c r="X37" s="1262"/>
      <c r="Y37" s="3399"/>
      <c r="Z37" s="1261" t="str">
        <f t="shared" si="15"/>
        <v>成新度</v>
      </c>
      <c r="AA37" s="1261">
        <f t="shared" si="3"/>
        <v>1</v>
      </c>
      <c r="AB37" s="1261">
        <f t="shared" si="4"/>
        <v>1</v>
      </c>
      <c r="AC37" s="1809">
        <f t="shared" si="5"/>
        <v>1.0526315789473684</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4"/>
      <c r="N38" s="2434"/>
      <c r="O38" s="2434"/>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799">
        <f t="shared" si="5"/>
        <v>1</v>
      </c>
    </row>
    <row r="39" spans="1:29" ht="15">
      <c r="A39" s="409"/>
      <c r="B39" s="364" t="s">
        <v>1819</v>
      </c>
      <c r="C39" s="399" t="s">
        <v>3563</v>
      </c>
      <c r="D39" s="374">
        <v>100</v>
      </c>
      <c r="E39" s="399" t="s">
        <v>3563</v>
      </c>
      <c r="F39" s="400">
        <f>SUMIF(115:115,E39,116:116)-SUMIF(115:115,C39,116:116)+100</f>
        <v>100</v>
      </c>
      <c r="G39" s="399" t="s">
        <v>3563</v>
      </c>
      <c r="H39" s="374">
        <f>SUMIF(115:115,G39,116:116)-SUMIF(115:115,C39,116:116)+100</f>
        <v>100</v>
      </c>
      <c r="I39" s="399" t="s">
        <v>3563</v>
      </c>
      <c r="J39" s="374">
        <f>SUMIF(115:115,I39,116:116)-SUMIF(115:115,C39,116:116)+100</f>
        <v>100</v>
      </c>
      <c r="K39" s="538">
        <v>2</v>
      </c>
      <c r="L39" s="2486"/>
      <c r="M39" s="2481"/>
      <c r="N39" s="2481"/>
      <c r="O39" s="2481"/>
      <c r="P39" s="3397" t="s">
        <v>1696</v>
      </c>
      <c r="Q39" s="1260" t="str">
        <f t="shared" si="11"/>
        <v>物业管理</v>
      </c>
      <c r="R39" s="667" t="s">
        <v>14</v>
      </c>
      <c r="S39" s="668">
        <f t="shared" si="12"/>
        <v>100</v>
      </c>
      <c r="T39" s="667" t="s">
        <v>14</v>
      </c>
      <c r="U39" s="668">
        <f t="shared" si="13"/>
        <v>100</v>
      </c>
      <c r="V39" s="667" t="s">
        <v>14</v>
      </c>
      <c r="W39" s="668">
        <f t="shared" si="14"/>
        <v>100</v>
      </c>
      <c r="X39" s="1262"/>
      <c r="Y39" s="3399" t="s">
        <v>1696</v>
      </c>
      <c r="Z39" s="1261" t="str">
        <f t="shared" si="15"/>
        <v>物业管理</v>
      </c>
      <c r="AA39" s="1261">
        <f t="shared" si="3"/>
        <v>1</v>
      </c>
      <c r="AB39" s="1261">
        <f t="shared" si="4"/>
        <v>1</v>
      </c>
      <c r="AC39" s="1809">
        <f t="shared" si="5"/>
        <v>1</v>
      </c>
    </row>
    <row r="40" spans="1:29" ht="15">
      <c r="A40" s="409"/>
      <c r="B40" s="364" t="s">
        <v>1787</v>
      </c>
      <c r="C40" s="399" t="s">
        <v>3564</v>
      </c>
      <c r="D40" s="374">
        <v>100</v>
      </c>
      <c r="E40" s="399" t="s">
        <v>3564</v>
      </c>
      <c r="F40" s="400">
        <f>SUMIF(117:117,E40,118:118)-SUMIF(117:117,C40,118:118)+100</f>
        <v>100</v>
      </c>
      <c r="G40" s="399" t="s">
        <v>3564</v>
      </c>
      <c r="H40" s="374">
        <f>SUMIF(117:117,G40,118:118)-SUMIF(117:117,C40,118:118)+100</f>
        <v>100</v>
      </c>
      <c r="I40" s="399" t="s">
        <v>3564</v>
      </c>
      <c r="J40" s="374">
        <f>SUMIF(117:117,I40,118:118)-SUMIF(117:117,C40,118:118)+100</f>
        <v>100</v>
      </c>
      <c r="K40" s="538">
        <v>2</v>
      </c>
      <c r="L40" s="2486"/>
      <c r="M40" s="2481"/>
      <c r="N40" s="2481"/>
      <c r="O40" s="2481"/>
      <c r="P40" s="3397"/>
      <c r="Q40" s="1260" t="str">
        <f t="shared" si="11"/>
        <v>市政基础设施</v>
      </c>
      <c r="R40" s="667" t="s">
        <v>14</v>
      </c>
      <c r="S40" s="668">
        <f t="shared" si="12"/>
        <v>100</v>
      </c>
      <c r="T40" s="667" t="s">
        <v>14</v>
      </c>
      <c r="U40" s="668">
        <f t="shared" si="13"/>
        <v>100</v>
      </c>
      <c r="V40" s="667" t="s">
        <v>14</v>
      </c>
      <c r="W40" s="668">
        <f t="shared" si="14"/>
        <v>100</v>
      </c>
      <c r="X40" s="1262"/>
      <c r="Y40" s="3399"/>
      <c r="Z40" s="1261" t="str">
        <f t="shared" si="15"/>
        <v>市政基础设施</v>
      </c>
      <c r="AA40" s="1261">
        <f t="shared" si="3"/>
        <v>1</v>
      </c>
      <c r="AB40" s="1261">
        <f t="shared" si="4"/>
        <v>1</v>
      </c>
      <c r="AC40" s="1809">
        <f t="shared" si="5"/>
        <v>1</v>
      </c>
    </row>
    <row r="41" spans="1:29" ht="15">
      <c r="A41" s="409"/>
      <c r="B41" s="364" t="s">
        <v>1789</v>
      </c>
      <c r="C41" s="542" t="s">
        <v>3565</v>
      </c>
      <c r="D41" s="374">
        <v>100</v>
      </c>
      <c r="E41" s="542" t="s">
        <v>3565</v>
      </c>
      <c r="F41" s="400">
        <f>SUMIF(119:119,E41,120:120)-SUMIF(119:119,C41,120:120)+100</f>
        <v>100</v>
      </c>
      <c r="G41" s="542" t="s">
        <v>3565</v>
      </c>
      <c r="H41" s="374">
        <f>SUMIF(119:119,G41,120:120)-SUMIF(119:119,C41,120:120)+100</f>
        <v>100</v>
      </c>
      <c r="I41" s="542" t="s">
        <v>3565</v>
      </c>
      <c r="J41" s="374">
        <f>SUMIF(119:119,I41,120:120)-SUMIF(119:119,C41,120:120)+100</f>
        <v>100</v>
      </c>
      <c r="K41" s="538">
        <v>2</v>
      </c>
      <c r="L41" s="2486"/>
      <c r="M41" s="2481"/>
      <c r="N41" s="2481"/>
      <c r="O41" s="2481"/>
      <c r="P41" s="3397"/>
      <c r="Q41" s="1260" t="str">
        <f t="shared" si="11"/>
        <v>层高</v>
      </c>
      <c r="R41" s="667" t="s">
        <v>14</v>
      </c>
      <c r="S41" s="668">
        <f t="shared" si="12"/>
        <v>100</v>
      </c>
      <c r="T41" s="667" t="s">
        <v>14</v>
      </c>
      <c r="U41" s="668">
        <f t="shared" si="13"/>
        <v>100</v>
      </c>
      <c r="V41" s="667" t="s">
        <v>14</v>
      </c>
      <c r="W41" s="668">
        <f t="shared" si="14"/>
        <v>100</v>
      </c>
      <c r="X41" s="1262"/>
      <c r="Y41" s="3399"/>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1">
        <f t="shared" si="3"/>
        <v>1</v>
      </c>
      <c r="AB42" s="1261">
        <f t="shared" si="4"/>
        <v>1</v>
      </c>
      <c r="AC42" s="1809">
        <f t="shared" si="5"/>
        <v>1</v>
      </c>
    </row>
    <row r="43" spans="1:29" ht="15">
      <c r="A43" s="409"/>
      <c r="B43" s="364" t="s">
        <v>1792</v>
      </c>
      <c r="C43" s="399" t="s">
        <v>3566</v>
      </c>
      <c r="D43" s="374">
        <v>100</v>
      </c>
      <c r="E43" s="399" t="s">
        <v>3566</v>
      </c>
      <c r="F43" s="400">
        <f>SUMIF(123:123,E43,124:124)-SUMIF(123:123,C43,124:124)+100</f>
        <v>100</v>
      </c>
      <c r="G43" s="399" t="s">
        <v>3566</v>
      </c>
      <c r="H43" s="374">
        <f>SUMIF(123:123,G43,124:124)-SUMIF(123:123,C43,124:124)+100</f>
        <v>100</v>
      </c>
      <c r="I43" s="399" t="s">
        <v>3566</v>
      </c>
      <c r="J43" s="374">
        <f>SUMIF(123:123,I43,124:124)-SUMIF(123:123,C43,124:124)+100</f>
        <v>100</v>
      </c>
      <c r="K43" s="538">
        <v>2</v>
      </c>
      <c r="L43" s="2486"/>
      <c r="M43" s="2481"/>
      <c r="N43" s="2481"/>
      <c r="O43" s="2481"/>
      <c r="P43" s="3397"/>
      <c r="Q43" s="1260" t="str">
        <f t="shared" si="11"/>
        <v>内部装修</v>
      </c>
      <c r="R43" s="667" t="s">
        <v>14</v>
      </c>
      <c r="S43" s="668">
        <f t="shared" si="12"/>
        <v>100</v>
      </c>
      <c r="T43" s="667" t="s">
        <v>14</v>
      </c>
      <c r="U43" s="668">
        <f t="shared" si="13"/>
        <v>100</v>
      </c>
      <c r="V43" s="667" t="s">
        <v>14</v>
      </c>
      <c r="W43" s="668">
        <f t="shared" si="14"/>
        <v>100</v>
      </c>
      <c r="X43" s="1262"/>
      <c r="Y43" s="3399"/>
      <c r="Z43" s="1261" t="str">
        <f t="shared" si="15"/>
        <v>内部装修</v>
      </c>
      <c r="AA43" s="1261">
        <f t="shared" si="3"/>
        <v>1</v>
      </c>
      <c r="AB43" s="1261">
        <f t="shared" si="4"/>
        <v>1</v>
      </c>
      <c r="AC43" s="1809">
        <f t="shared" si="5"/>
        <v>1</v>
      </c>
    </row>
    <row r="44" spans="1:29" ht="15.75" thickBot="1">
      <c r="A44" s="409"/>
      <c r="B44" s="364" t="s">
        <v>1707</v>
      </c>
      <c r="C44" s="399" t="s">
        <v>3561</v>
      </c>
      <c r="D44" s="374">
        <v>100</v>
      </c>
      <c r="E44" s="1757" t="s">
        <v>3561</v>
      </c>
      <c r="F44" s="400">
        <f>SUMIF(125:125,E44,126:126)-SUMIF(125:125,C44,126:126)+100</f>
        <v>100</v>
      </c>
      <c r="G44" s="1757" t="s">
        <v>3561</v>
      </c>
      <c r="H44" s="374">
        <f>SUMIF(125:125,G44,126:126)-SUMIF(125:125,C44,126:126)+100</f>
        <v>100</v>
      </c>
      <c r="I44" s="1757" t="s">
        <v>3561</v>
      </c>
      <c r="J44" s="374">
        <f>SUMIF(125:125,I44,126:126)-SUMIF(125:125,C44,126:126)+100</f>
        <v>100</v>
      </c>
      <c r="K44" s="538">
        <v>2</v>
      </c>
      <c r="L44" s="2486"/>
      <c r="M44" s="2481"/>
      <c r="N44" s="2481"/>
      <c r="O44" s="2481"/>
      <c r="P44" s="3397"/>
      <c r="Q44" s="1260" t="str">
        <f t="shared" si="11"/>
        <v>内部装修维护情况</v>
      </c>
      <c r="R44" s="667" t="s">
        <v>14</v>
      </c>
      <c r="S44" s="668">
        <f t="shared" si="12"/>
        <v>100</v>
      </c>
      <c r="T44" s="667" t="s">
        <v>14</v>
      </c>
      <c r="U44" s="668">
        <f t="shared" si="13"/>
        <v>100</v>
      </c>
      <c r="V44" s="667" t="s">
        <v>14</v>
      </c>
      <c r="W44" s="668">
        <f t="shared" si="14"/>
        <v>100</v>
      </c>
      <c r="X44" s="1262"/>
      <c r="Y44" s="3399"/>
      <c r="Z44" s="1261" t="str">
        <f t="shared" si="15"/>
        <v>内部装修维护情况</v>
      </c>
      <c r="AA44" s="1261">
        <f t="shared" si="3"/>
        <v>1</v>
      </c>
      <c r="AB44" s="1261">
        <f t="shared" si="4"/>
        <v>1</v>
      </c>
      <c r="AC44" s="1809">
        <f t="shared" si="5"/>
        <v>1</v>
      </c>
    </row>
    <row r="45" spans="1:29" s="102" customFormat="1" ht="15.75" thickTop="1">
      <c r="A45" s="410"/>
      <c r="B45" s="3152" t="s">
        <v>3568</v>
      </c>
      <c r="C45" s="3151" t="s">
        <v>3567</v>
      </c>
      <c r="D45" s="119">
        <v>100</v>
      </c>
      <c r="E45" s="3163">
        <v>0.15</v>
      </c>
      <c r="F45" s="364">
        <f>SUMIF(127:127,E45,128:128)-SUMIF(127:127,C45,128:128)+100</f>
        <v>105</v>
      </c>
      <c r="G45" s="371">
        <v>0</v>
      </c>
      <c r="H45" s="119">
        <f>SUMIF(127:127,G45,128:128)-SUMIF(127:127,C45,128:128)+100</f>
        <v>115</v>
      </c>
      <c r="I45" s="3163">
        <v>0.15</v>
      </c>
      <c r="J45" s="119">
        <f>SUMIF(127:127,I45,128:128)-SUMIF(127:127,C45,128:128)+100</f>
        <v>105</v>
      </c>
      <c r="K45" s="539"/>
      <c r="L45" s="2482"/>
      <c r="M45" s="2434"/>
      <c r="N45" s="2434"/>
      <c r="O45" s="2434"/>
      <c r="P45" s="3397"/>
      <c r="Q45" s="530" t="str">
        <f t="shared" si="11"/>
        <v>地下占比</v>
      </c>
      <c r="R45" s="664" t="s">
        <v>14</v>
      </c>
      <c r="S45" s="665">
        <f t="shared" si="12"/>
        <v>105</v>
      </c>
      <c r="T45" s="664" t="s">
        <v>14</v>
      </c>
      <c r="U45" s="665">
        <f t="shared" si="13"/>
        <v>115</v>
      </c>
      <c r="V45" s="664" t="s">
        <v>14</v>
      </c>
      <c r="W45" s="665">
        <f t="shared" si="14"/>
        <v>105</v>
      </c>
      <c r="X45" s="666"/>
      <c r="Y45" s="3399"/>
      <c r="Z45" s="50" t="str">
        <f t="shared" si="15"/>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397"/>
      <c r="Q46" s="1260">
        <f t="shared" si="11"/>
        <v>111</v>
      </c>
      <c r="R46" s="667" t="s">
        <v>14</v>
      </c>
      <c r="S46" s="668">
        <f t="shared" si="12"/>
        <v>100</v>
      </c>
      <c r="T46" s="667" t="s">
        <v>14</v>
      </c>
      <c r="U46" s="668">
        <f t="shared" si="13"/>
        <v>100</v>
      </c>
      <c r="V46" s="667" t="s">
        <v>14</v>
      </c>
      <c r="W46" s="668">
        <f t="shared" si="14"/>
        <v>100</v>
      </c>
      <c r="X46" s="1262"/>
      <c r="Y46" s="3399"/>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398"/>
      <c r="Q47" s="1260">
        <f t="shared" si="11"/>
        <v>111</v>
      </c>
      <c r="R47" s="667" t="s">
        <v>14</v>
      </c>
      <c r="S47" s="668">
        <f t="shared" si="12"/>
        <v>100</v>
      </c>
      <c r="T47" s="667" t="s">
        <v>14</v>
      </c>
      <c r="U47" s="668">
        <f t="shared" si="13"/>
        <v>100</v>
      </c>
      <c r="V47" s="667" t="s">
        <v>14</v>
      </c>
      <c r="W47" s="668">
        <f t="shared" si="14"/>
        <v>100</v>
      </c>
      <c r="X47" s="1262"/>
      <c r="Y47" s="3400"/>
      <c r="Z47" s="1261">
        <f t="shared" si="15"/>
        <v>111</v>
      </c>
      <c r="AA47" s="1261">
        <f t="shared" si="3"/>
        <v>1</v>
      </c>
      <c r="AB47" s="1261">
        <f t="shared" si="4"/>
        <v>1</v>
      </c>
      <c r="AC47" s="1809">
        <f t="shared" si="5"/>
        <v>1</v>
      </c>
    </row>
    <row r="48" spans="1:29" ht="15">
      <c r="A48" s="416" t="s">
        <v>1708</v>
      </c>
      <c r="B48" s="417"/>
      <c r="C48" s="1078" t="s">
        <v>0</v>
      </c>
      <c r="D48" s="418"/>
      <c r="E48" s="419">
        <v>76797</v>
      </c>
      <c r="F48" s="420"/>
      <c r="G48" s="421">
        <v>78407</v>
      </c>
      <c r="H48" s="422"/>
      <c r="I48" s="419">
        <v>69925</v>
      </c>
      <c r="J48" s="422"/>
      <c r="K48" s="674"/>
      <c r="L48" s="2488"/>
      <c r="M48" s="2481"/>
      <c r="N48" s="2481"/>
      <c r="O48" s="2481"/>
      <c r="P48" s="3386" t="str">
        <f>A48</f>
        <v>成交单价（元/平方米）</v>
      </c>
      <c r="Q48" s="3387"/>
      <c r="R48" s="3388">
        <f>E48</f>
        <v>76797</v>
      </c>
      <c r="S48" s="3388"/>
      <c r="T48" s="3388">
        <f>G48</f>
        <v>78407</v>
      </c>
      <c r="U48" s="3388"/>
      <c r="V48" s="3388">
        <f>I48</f>
        <v>69925</v>
      </c>
      <c r="W48" s="3388"/>
      <c r="X48" s="385"/>
      <c r="Y48" s="673"/>
      <c r="Z48" s="385"/>
      <c r="AA48" s="385"/>
      <c r="AB48" s="385"/>
      <c r="AC48" s="555"/>
    </row>
    <row r="49" spans="1:60" ht="15.75" thickBot="1">
      <c r="A49" s="423" t="s">
        <v>1793</v>
      </c>
      <c r="B49" s="424"/>
      <c r="C49" s="1079">
        <f>R50</f>
        <v>72804</v>
      </c>
      <c r="D49" s="2137" t="s">
        <v>2138</v>
      </c>
      <c r="E49" s="1080">
        <f>R49</f>
        <v>77020</v>
      </c>
      <c r="F49" s="2138"/>
      <c r="G49" s="1079">
        <f>T49</f>
        <v>66843</v>
      </c>
      <c r="H49" s="2138"/>
      <c r="I49" s="1080">
        <f>V49</f>
        <v>74550</v>
      </c>
      <c r="J49" s="2138"/>
      <c r="K49" s="2140">
        <f>F49+H49+J49</f>
        <v>0</v>
      </c>
      <c r="L49" s="2488"/>
      <c r="M49" s="2481"/>
      <c r="N49" s="2481"/>
      <c r="O49" s="2481"/>
      <c r="P49" s="3386" t="str">
        <f>A49</f>
        <v>比较价值（元/平方米）</v>
      </c>
      <c r="Q49" s="3387"/>
      <c r="R49" s="3388">
        <f>IF(F1="售价",ROUND(PRODUCT(R48,AA7:AA47),0),ROUND(PRODUCT(R48,AA7:AA47),1))</f>
        <v>77020</v>
      </c>
      <c r="S49" s="3388"/>
      <c r="T49" s="3388">
        <f>IF(F1="售价",ROUND(PRODUCT(T48,AB7:AB47),0),ROUND(PRODUCT(T48,AB7:AB47),1))</f>
        <v>66843</v>
      </c>
      <c r="U49" s="3388"/>
      <c r="V49" s="3388">
        <f>IF(F1="售价",ROUND(PRODUCT(V48,AC7:AC47),0),ROUND(PRODUCT(V48,AC7:AC47),1))</f>
        <v>74550</v>
      </c>
      <c r="W49" s="3388"/>
      <c r="X49" s="385"/>
      <c r="Y49" s="385"/>
      <c r="Z49" s="385"/>
      <c r="AA49" s="385"/>
      <c r="AB49" s="385"/>
      <c r="AC49" s="555"/>
    </row>
    <row r="50" spans="1:60" ht="15.75" thickBot="1">
      <c r="A50" s="427" t="s">
        <v>1794</v>
      </c>
      <c r="B50" s="428"/>
      <c r="C50" s="351">
        <f>R50</f>
        <v>72804</v>
      </c>
      <c r="D50" s="351"/>
      <c r="E50" s="351"/>
      <c r="F50" s="351"/>
      <c r="G50" s="351"/>
      <c r="H50" s="351"/>
      <c r="I50" s="351"/>
      <c r="J50" s="429"/>
      <c r="K50" s="675"/>
      <c r="L50" s="2488"/>
      <c r="M50" s="2481"/>
      <c r="N50" s="2481"/>
      <c r="O50" s="2481"/>
      <c r="P50" s="3389" t="str">
        <f>A50</f>
        <v>估价对象XX用房的比较价值（楼面单价，元/平方米）</v>
      </c>
      <c r="Q50" s="3390"/>
      <c r="R50" s="3391">
        <f>IF(F1="售价",ROUND(IF(D49="简单平均",AVERAGE(R49:V49),R49*F49+T49*H49+V49*J49),0),ROUND(IF(D49="简单平均",AVERAGE(R49:V49),R49*F49+T49*H49+V49*J49),1))</f>
        <v>72804</v>
      </c>
      <c r="S50" s="3391"/>
      <c r="T50" s="3391"/>
      <c r="U50" s="3391"/>
      <c r="V50" s="3391"/>
      <c r="W50" s="3391"/>
      <c r="X50" s="1795"/>
      <c r="Y50" s="1795"/>
      <c r="Z50" s="1795"/>
      <c r="AA50" s="1795"/>
      <c r="AB50" s="1795"/>
      <c r="AC50" s="1796"/>
    </row>
    <row r="51" spans="1:60">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60">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60" ht="13.5" customHeight="1">
      <c r="A53" s="2481"/>
      <c r="B53" s="2481"/>
      <c r="C53" s="432" t="s">
        <v>1795</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60" ht="13.5" customHeight="1">
      <c r="A54" s="2481"/>
      <c r="B54" s="2481"/>
      <c r="C54" s="432" t="s">
        <v>1796</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60" s="437" customFormat="1" ht="13.5" customHeight="1">
      <c r="A55" s="2491"/>
      <c r="B55" s="2491"/>
      <c r="C55" s="432" t="s">
        <v>1797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60"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60">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60" ht="21.75" thickBot="1">
      <c r="A58" s="658" t="s">
        <v>1798</v>
      </c>
      <c r="B58" s="385"/>
      <c r="C58" s="659"/>
      <c r="D58" s="659"/>
      <c r="E58" s="659"/>
      <c r="F58" s="660"/>
      <c r="G58" s="660"/>
      <c r="H58" s="659"/>
      <c r="I58" s="659"/>
      <c r="J58" s="659"/>
      <c r="K58" s="661"/>
      <c r="L58" s="885"/>
      <c r="M58" s="883"/>
      <c r="N58" s="2531"/>
      <c r="O58" s="2531"/>
      <c r="P58" s="2520"/>
      <c r="Q58" s="2502"/>
      <c r="R58" s="2481"/>
      <c r="S58" s="2481"/>
      <c r="T58" s="2481"/>
      <c r="U58" s="2481"/>
      <c r="V58" s="2481"/>
      <c r="W58" s="2481"/>
      <c r="X58" s="2481"/>
      <c r="Y58" s="2481"/>
      <c r="Z58" s="2481"/>
      <c r="AA58" s="2481"/>
      <c r="AB58" s="2481"/>
      <c r="AC58" s="2481"/>
    </row>
    <row r="59" spans="1:60" s="442" customFormat="1" ht="15">
      <c r="A59" s="440" t="s">
        <v>1679</v>
      </c>
      <c r="B59" s="441"/>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3153">
        <f t="shared" ref="P59" si="17">EDATE(O59,-1)</f>
        <v>45231</v>
      </c>
      <c r="Q59" s="3153">
        <f t="shared" ref="Q59" si="18">EDATE(P59,-1)</f>
        <v>45200</v>
      </c>
      <c r="R59" s="3153">
        <f t="shared" ref="R59" si="19">EDATE(Q59,-1)</f>
        <v>45170</v>
      </c>
      <c r="S59" s="3153">
        <f t="shared" ref="S59" si="20">EDATE(R59,-1)</f>
        <v>45139</v>
      </c>
      <c r="T59" s="3153">
        <f t="shared" ref="T59" si="21">EDATE(S59,-1)</f>
        <v>45108</v>
      </c>
      <c r="U59" s="3153">
        <f t="shared" ref="U59" si="22">EDATE(T59,-1)</f>
        <v>45078</v>
      </c>
      <c r="V59" s="3153">
        <f t="shared" ref="V59" si="23">EDATE(U59,-1)</f>
        <v>45047</v>
      </c>
      <c r="W59" s="3153">
        <f t="shared" ref="W59" si="24">EDATE(V59,-1)</f>
        <v>45017</v>
      </c>
      <c r="X59" s="3153">
        <f t="shared" ref="X59" si="25">EDATE(W59,-1)</f>
        <v>44986</v>
      </c>
      <c r="Y59" s="3153">
        <f t="shared" ref="Y59" si="26">EDATE(X59,-1)</f>
        <v>44958</v>
      </c>
      <c r="Z59" s="3153">
        <f t="shared" ref="Z59" si="27">EDATE(Y59,-1)</f>
        <v>44927</v>
      </c>
      <c r="AA59" s="3153">
        <f t="shared" ref="AA59" si="28">EDATE(Z59,-1)</f>
        <v>44896</v>
      </c>
      <c r="AB59" s="3153">
        <f t="shared" ref="AB59" si="29">EDATE(AA59,-1)</f>
        <v>44866</v>
      </c>
      <c r="AC59" s="3153">
        <f t="shared" ref="AC59" si="30">EDATE(AB59,-1)</f>
        <v>44835</v>
      </c>
      <c r="AD59" s="3153">
        <f t="shared" ref="AD59" si="31">EDATE(AC59,-1)</f>
        <v>44805</v>
      </c>
      <c r="AE59" s="3153">
        <f t="shared" ref="AE59" si="32">EDATE(AD59,-1)</f>
        <v>44774</v>
      </c>
      <c r="AF59" s="3153">
        <f t="shared" ref="AF59" si="33">EDATE(AE59,-1)</f>
        <v>44743</v>
      </c>
      <c r="AG59" s="3153">
        <f t="shared" ref="AG59" si="34">EDATE(AF59,-1)</f>
        <v>44713</v>
      </c>
      <c r="AH59" s="3153">
        <f t="shared" ref="AH59" si="35">EDATE(AG59,-1)</f>
        <v>44682</v>
      </c>
      <c r="AI59" s="3153">
        <f t="shared" ref="AI59" si="36">EDATE(AH59,-1)</f>
        <v>44652</v>
      </c>
      <c r="AJ59" s="3153">
        <f t="shared" ref="AJ59" si="37">EDATE(AI59,-1)</f>
        <v>44621</v>
      </c>
      <c r="AK59" s="3153">
        <f t="shared" ref="AK59" si="38">EDATE(AJ59,-1)</f>
        <v>44593</v>
      </c>
      <c r="AL59" s="3153">
        <f t="shared" ref="AL59" si="39">EDATE(AK59,-1)</f>
        <v>44562</v>
      </c>
      <c r="AM59" s="3153">
        <f t="shared" ref="AM59" si="40">EDATE(AL59,-1)</f>
        <v>44531</v>
      </c>
      <c r="AN59" s="3153">
        <f t="shared" ref="AN59" si="41">EDATE(AM59,-1)</f>
        <v>44501</v>
      </c>
      <c r="AO59" s="3153">
        <f t="shared" ref="AO59" si="42">EDATE(AN59,-1)</f>
        <v>44470</v>
      </c>
      <c r="AP59" s="3153">
        <f t="shared" ref="AP59" si="43">EDATE(AO59,-1)</f>
        <v>44440</v>
      </c>
      <c r="AQ59" s="3153">
        <f t="shared" ref="AQ59" si="44">EDATE(AP59,-1)</f>
        <v>44409</v>
      </c>
      <c r="AR59" s="3153">
        <f t="shared" ref="AR59" si="45">EDATE(AQ59,-1)</f>
        <v>44378</v>
      </c>
      <c r="AS59" s="3153">
        <f t="shared" ref="AS59" si="46">EDATE(AR59,-1)</f>
        <v>44348</v>
      </c>
      <c r="AT59" s="3153">
        <f t="shared" ref="AT59" si="47">EDATE(AS59,-1)</f>
        <v>44317</v>
      </c>
      <c r="AU59" s="3153">
        <f t="shared" ref="AU59" si="48">EDATE(AT59,-1)</f>
        <v>44287</v>
      </c>
      <c r="AV59" s="3153">
        <f t="shared" ref="AV59" si="49">EDATE(AU59,-1)</f>
        <v>44256</v>
      </c>
      <c r="AW59" s="3153">
        <f t="shared" ref="AW59" si="50">EDATE(AV59,-1)</f>
        <v>44228</v>
      </c>
      <c r="AX59" s="3153">
        <f t="shared" ref="AX59" si="51">EDATE(AW59,-1)</f>
        <v>44197</v>
      </c>
      <c r="AY59" s="3153">
        <f t="shared" ref="AY59" si="52">EDATE(AX59,-1)</f>
        <v>44166</v>
      </c>
      <c r="AZ59" s="3153">
        <f t="shared" ref="AZ59" si="53">EDATE(AY59,-1)</f>
        <v>44136</v>
      </c>
      <c r="BA59" s="3153">
        <f t="shared" ref="BA59" si="54">EDATE(AZ59,-1)</f>
        <v>44105</v>
      </c>
      <c r="BB59" s="3153">
        <f t="shared" ref="BB59" si="55">EDATE(BA59,-1)</f>
        <v>44075</v>
      </c>
      <c r="BC59" s="3153">
        <f t="shared" ref="BC59" si="56">EDATE(BB59,-1)</f>
        <v>44044</v>
      </c>
      <c r="BD59" s="3153">
        <f t="shared" ref="BD59" si="57">EDATE(BC59,-1)</f>
        <v>44013</v>
      </c>
      <c r="BE59" s="3153">
        <f t="shared" ref="BE59" si="58">EDATE(BD59,-1)</f>
        <v>43983</v>
      </c>
      <c r="BF59" s="3153">
        <f t="shared" ref="BF59" si="59">EDATE(BE59,-1)</f>
        <v>43952</v>
      </c>
      <c r="BG59" s="3153">
        <f t="shared" ref="BG59" si="60">EDATE(BF59,-1)</f>
        <v>43922</v>
      </c>
      <c r="BH59" s="3153">
        <f t="shared" ref="BH59" si="61">EDATE(BG59,-1)</f>
        <v>43891</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1716</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4"/>
      <c r="AC61" s="2434"/>
    </row>
    <row r="62" spans="1:60" s="102" customFormat="1" ht="15">
      <c r="A62" s="455" t="s">
        <v>1681</v>
      </c>
      <c r="B62" s="444"/>
      <c r="C62" s="456" t="s">
        <v>1776</v>
      </c>
      <c r="D62" s="31"/>
      <c r="E62" s="31"/>
      <c r="F62" s="31"/>
      <c r="G62" s="31"/>
      <c r="H62" s="31"/>
      <c r="I62" s="31"/>
      <c r="J62" s="31"/>
      <c r="K62" s="31"/>
      <c r="L62" s="457"/>
      <c r="M62" s="458"/>
      <c r="N62" s="2514"/>
      <c r="O62" s="2514"/>
      <c r="P62" s="2523"/>
      <c r="Q62" s="2502"/>
      <c r="R62" s="2434"/>
      <c r="S62" s="2434"/>
      <c r="T62" s="2434"/>
      <c r="U62" s="2434"/>
      <c r="V62" s="2434"/>
      <c r="W62" s="2434"/>
      <c r="X62" s="2434"/>
      <c r="Y62" s="2434"/>
      <c r="Z62" s="2434"/>
      <c r="AA62" s="2434"/>
      <c r="AB62" s="2434"/>
      <c r="AC62" s="2434"/>
    </row>
    <row r="63" spans="1:60" s="102" customFormat="1" ht="15.75" thickBot="1">
      <c r="A63" s="455"/>
      <c r="B63" s="444"/>
      <c r="C63" s="445">
        <v>100</v>
      </c>
      <c r="D63" s="446"/>
      <c r="E63" s="446"/>
      <c r="F63" s="446"/>
      <c r="G63" s="446"/>
      <c r="H63" s="446"/>
      <c r="I63" s="446"/>
      <c r="J63" s="446"/>
      <c r="K63" s="446"/>
      <c r="L63" s="446"/>
      <c r="M63" s="448"/>
      <c r="N63" s="2514"/>
      <c r="O63" s="2514"/>
      <c r="P63" s="2522"/>
      <c r="Q63" s="2502"/>
      <c r="R63" s="2434"/>
      <c r="S63" s="2434"/>
      <c r="T63" s="2434"/>
      <c r="U63" s="2434"/>
      <c r="V63" s="2434"/>
      <c r="W63" s="2434"/>
      <c r="X63" s="2434"/>
      <c r="Y63" s="2434"/>
      <c r="Z63" s="2434"/>
      <c r="AA63" s="2434"/>
      <c r="AB63" s="2434"/>
      <c r="AC63" s="2434"/>
    </row>
    <row r="64" spans="1:60">
      <c r="A64" s="379" t="s">
        <v>1719</v>
      </c>
      <c r="B64" s="460" t="s">
        <v>1685</v>
      </c>
      <c r="C64" s="461" t="str">
        <f>C9</f>
        <v>商办综合</v>
      </c>
      <c r="D64" s="3155" t="s">
        <v>460</v>
      </c>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v>95</v>
      </c>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1688</v>
      </c>
      <c r="C66" s="513" t="s">
        <v>3573</v>
      </c>
      <c r="D66" s="513" t="s">
        <v>3574</v>
      </c>
      <c r="E66" s="513" t="s">
        <v>3557</v>
      </c>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v>100</v>
      </c>
      <c r="D67" s="467">
        <f>C67-1</f>
        <v>99</v>
      </c>
      <c r="E67" s="467">
        <f>D67-1</f>
        <v>98</v>
      </c>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1689</v>
      </c>
      <c r="C68" s="478" t="str">
        <f>C69&amp;"（含）"&amp;"-"&amp;D69</f>
        <v>0（含）-3</v>
      </c>
      <c r="D68" s="478" t="str">
        <f t="shared" ref="D68:L68" si="62">D69&amp;"（含）"&amp;"-"&amp;E69</f>
        <v>3（含）-</v>
      </c>
      <c r="E68" s="478" t="str">
        <f t="shared" si="62"/>
        <v>（含）-</v>
      </c>
      <c r="F68" s="478" t="str">
        <f t="shared" si="62"/>
        <v>（含）-</v>
      </c>
      <c r="G68" s="478" t="str">
        <f t="shared" si="62"/>
        <v>（含）-</v>
      </c>
      <c r="H68" s="478" t="str">
        <f t="shared" si="62"/>
        <v>（含）-</v>
      </c>
      <c r="I68" s="478" t="str">
        <f t="shared" si="62"/>
        <v>（含）-</v>
      </c>
      <c r="J68" s="478" t="str">
        <f t="shared" si="62"/>
        <v>（含）-</v>
      </c>
      <c r="K68" s="478" t="str">
        <f t="shared" si="62"/>
        <v>（含）-</v>
      </c>
      <c r="L68" s="478" t="str">
        <f t="shared" si="62"/>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63">C70-$K11</f>
        <v>100</v>
      </c>
      <c r="E70" s="475">
        <f t="shared" si="63"/>
        <v>100</v>
      </c>
      <c r="F70" s="475">
        <f t="shared" si="63"/>
        <v>100</v>
      </c>
      <c r="G70" s="475">
        <f t="shared" si="63"/>
        <v>100</v>
      </c>
      <c r="H70" s="475">
        <f t="shared" si="63"/>
        <v>100</v>
      </c>
      <c r="I70" s="475">
        <f t="shared" si="63"/>
        <v>100</v>
      </c>
      <c r="J70" s="475">
        <f t="shared" si="63"/>
        <v>100</v>
      </c>
      <c r="K70" s="475">
        <f t="shared" si="63"/>
        <v>100</v>
      </c>
      <c r="L70" s="475">
        <f t="shared" si="63"/>
        <v>100</v>
      </c>
      <c r="M70" s="476">
        <f t="shared" si="63"/>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95</v>
      </c>
      <c r="E78" s="475">
        <f>D78-$K15</f>
        <v>90</v>
      </c>
      <c r="F78" s="475">
        <f>E78-$K15</f>
        <v>85</v>
      </c>
      <c r="G78" s="475">
        <f>F78-$K15</f>
        <v>80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98</v>
      </c>
      <c r="E80" s="475">
        <f>D80-$K17</f>
        <v>96</v>
      </c>
      <c r="F80" s="475">
        <f>E80-$K17</f>
        <v>94</v>
      </c>
      <c r="G80" s="475">
        <f>F80-$K17</f>
        <v>92</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95</v>
      </c>
      <c r="E82" s="475">
        <f>D82-$K19</f>
        <v>90</v>
      </c>
      <c r="F82" s="475">
        <f>E82-$K19</f>
        <v>85</v>
      </c>
      <c r="G82" s="475">
        <f>F82-$K19</f>
        <v>80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1813</v>
      </c>
      <c r="C83" s="581" t="s">
        <v>1799</v>
      </c>
      <c r="D83" s="581" t="s">
        <v>1800</v>
      </c>
      <c r="E83" s="581" t="s">
        <v>1801</v>
      </c>
      <c r="F83" s="581" t="s">
        <v>1802</v>
      </c>
      <c r="G83" s="581" t="s">
        <v>1803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98</v>
      </c>
      <c r="E84" s="475">
        <f>D84-$K21</f>
        <v>96</v>
      </c>
      <c r="F84" s="475">
        <f>E84-$K21</f>
        <v>94</v>
      </c>
      <c r="G84" s="475">
        <f>F84-$K21</f>
        <v>92</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95</v>
      </c>
      <c r="E86" s="475">
        <f>D86-$K23</f>
        <v>90</v>
      </c>
      <c r="F86" s="475">
        <f>E86-$K23</f>
        <v>85</v>
      </c>
      <c r="G86" s="475">
        <f>F86-$K23</f>
        <v>80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1823</v>
      </c>
      <c r="C87" s="485"/>
      <c r="D87" s="485"/>
      <c r="E87" s="485"/>
      <c r="F87" s="485"/>
      <c r="G87" s="485"/>
      <c r="H87" s="485"/>
      <c r="I87" s="485"/>
      <c r="J87" s="485"/>
      <c r="K87" s="485"/>
      <c r="L87" s="510"/>
      <c r="M87" s="511"/>
      <c r="N87" s="2514"/>
      <c r="O87" s="2514"/>
      <c r="P87" s="2524"/>
      <c r="Q87" s="2502"/>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64">C88-$K25</f>
        <v>100</v>
      </c>
      <c r="E88" s="475">
        <f t="shared" si="64"/>
        <v>100</v>
      </c>
      <c r="F88" s="475">
        <f t="shared" si="64"/>
        <v>100</v>
      </c>
      <c r="G88" s="475">
        <f t="shared" si="64"/>
        <v>100</v>
      </c>
      <c r="H88" s="475">
        <f t="shared" si="64"/>
        <v>100</v>
      </c>
      <c r="I88" s="475">
        <f t="shared" si="64"/>
        <v>100</v>
      </c>
      <c r="J88" s="475">
        <f t="shared" si="64"/>
        <v>100</v>
      </c>
      <c r="K88" s="475">
        <f t="shared" si="64"/>
        <v>100</v>
      </c>
      <c r="L88" s="475">
        <f t="shared" si="64"/>
        <v>100</v>
      </c>
      <c r="M88" s="475">
        <f t="shared" si="64"/>
        <v>100</v>
      </c>
      <c r="N88" s="2516"/>
      <c r="O88" s="2516"/>
      <c r="P88" s="2524"/>
      <c r="Q88" s="2502"/>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7"/>
      <c r="G89" s="485"/>
      <c r="H89" s="485"/>
      <c r="I89" s="485"/>
      <c r="J89" s="485"/>
      <c r="K89" s="485"/>
      <c r="L89" s="485"/>
      <c r="M89" s="511"/>
      <c r="N89" s="2514"/>
      <c r="O89" s="2514"/>
      <c r="P89" s="2524"/>
      <c r="Q89" s="2502"/>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65">D90-$K27</f>
        <v>100</v>
      </c>
      <c r="F90" s="475">
        <f t="shared" si="65"/>
        <v>100</v>
      </c>
      <c r="G90" s="475">
        <f t="shared" si="65"/>
        <v>100</v>
      </c>
      <c r="H90" s="475">
        <f t="shared" si="65"/>
        <v>100</v>
      </c>
      <c r="I90" s="475">
        <f t="shared" si="65"/>
        <v>100</v>
      </c>
      <c r="J90" s="475">
        <f t="shared" si="65"/>
        <v>100</v>
      </c>
      <c r="K90" s="475">
        <f t="shared" si="65"/>
        <v>100</v>
      </c>
      <c r="L90" s="475">
        <f t="shared" si="65"/>
        <v>100</v>
      </c>
      <c r="M90" s="475">
        <f t="shared" si="65"/>
        <v>100</v>
      </c>
      <c r="N90" s="2516"/>
      <c r="O90" s="2516"/>
      <c r="P90" s="2524"/>
      <c r="Q90" s="2502"/>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66">C92-$K28</f>
        <v>100</v>
      </c>
      <c r="E92" s="475">
        <f t="shared" si="66"/>
        <v>100</v>
      </c>
      <c r="F92" s="475">
        <f t="shared" si="66"/>
        <v>100</v>
      </c>
      <c r="G92" s="475">
        <f t="shared" si="66"/>
        <v>100</v>
      </c>
      <c r="H92" s="475">
        <f t="shared" si="66"/>
        <v>100</v>
      </c>
      <c r="I92" s="475">
        <f t="shared" si="66"/>
        <v>100</v>
      </c>
      <c r="J92" s="475">
        <f t="shared" si="66"/>
        <v>100</v>
      </c>
      <c r="K92" s="475">
        <f t="shared" si="66"/>
        <v>100</v>
      </c>
      <c r="L92" s="475">
        <f t="shared" si="66"/>
        <v>100</v>
      </c>
      <c r="M92" s="475">
        <f t="shared" si="66"/>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t="str">
        <f>B29</f>
        <v>商业繁华度</v>
      </c>
      <c r="C93" s="3154" t="s">
        <v>3575</v>
      </c>
      <c r="D93" s="3154" t="s">
        <v>3561</v>
      </c>
      <c r="E93" s="485" t="s">
        <v>3572</v>
      </c>
      <c r="F93" s="485" t="s">
        <v>3576</v>
      </c>
      <c r="G93" s="485" t="s">
        <v>3577</v>
      </c>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v>100</v>
      </c>
      <c r="D94" s="467">
        <v>95</v>
      </c>
      <c r="E94" s="467">
        <v>90</v>
      </c>
      <c r="F94" s="467">
        <v>85</v>
      </c>
      <c r="G94" s="467">
        <v>80</v>
      </c>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0</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0</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0</v>
      </c>
      <c r="C99" s="3154"/>
      <c r="D99" s="3154"/>
      <c r="E99" s="485"/>
      <c r="F99" s="485"/>
      <c r="G99" s="485"/>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491"/>
      <c r="D100" s="467"/>
      <c r="E100" s="467"/>
      <c r="F100" s="467"/>
      <c r="G100" s="467"/>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1694</v>
      </c>
      <c r="B101" s="460" t="s">
        <v>1736</v>
      </c>
      <c r="C101" s="3155" t="s">
        <v>3578</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67">C102-$K33</f>
        <v>100</v>
      </c>
      <c r="E102" s="475">
        <f t="shared" si="67"/>
        <v>100</v>
      </c>
      <c r="F102" s="475">
        <f t="shared" si="67"/>
        <v>100</v>
      </c>
      <c r="G102" s="475">
        <f t="shared" si="67"/>
        <v>100</v>
      </c>
      <c r="H102" s="475">
        <f t="shared" si="67"/>
        <v>100</v>
      </c>
      <c r="I102" s="475">
        <f t="shared" si="67"/>
        <v>100</v>
      </c>
      <c r="J102" s="475">
        <f t="shared" si="67"/>
        <v>100</v>
      </c>
      <c r="K102" s="475">
        <f t="shared" si="67"/>
        <v>100</v>
      </c>
      <c r="L102" s="475">
        <f t="shared" si="67"/>
        <v>100</v>
      </c>
      <c r="M102" s="476">
        <f t="shared" si="67"/>
        <v>100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7"/>
      <c r="B103" s="469" t="s">
        <v>1737</v>
      </c>
      <c r="C103" s="509" t="str">
        <f>C104&amp;"(含)"&amp;"-"&amp;D104</f>
        <v>0(含)-50000</v>
      </c>
      <c r="D103" s="509" t="str">
        <f t="shared" ref="D103:L103" si="68">D104&amp;"(含)"&amp;"-"&amp;E104</f>
        <v>50000(含)-100000</v>
      </c>
      <c r="E103" s="509" t="str">
        <f t="shared" si="68"/>
        <v>100000(含)-150000</v>
      </c>
      <c r="F103" s="509" t="str">
        <f t="shared" si="68"/>
        <v>150000(含)-200000</v>
      </c>
      <c r="G103" s="509" t="str">
        <f t="shared" si="68"/>
        <v>200000(含)-</v>
      </c>
      <c r="H103" s="509" t="str">
        <f t="shared" si="68"/>
        <v>(含)-</v>
      </c>
      <c r="I103" s="509" t="str">
        <f t="shared" si="68"/>
        <v>(含)-</v>
      </c>
      <c r="J103" s="509" t="str">
        <f t="shared" si="68"/>
        <v>(含)-</v>
      </c>
      <c r="K103" s="509" t="str">
        <f t="shared" si="68"/>
        <v>(含)-</v>
      </c>
      <c r="L103" s="509" t="str">
        <f t="shared" si="68"/>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f>C104+50000</f>
        <v>50000</v>
      </c>
      <c r="E104" s="6">
        <f t="shared" ref="E104:G104" si="69">D104+50000</f>
        <v>100000</v>
      </c>
      <c r="F104" s="6">
        <f t="shared" si="69"/>
        <v>150000</v>
      </c>
      <c r="G104" s="6">
        <f t="shared" si="69"/>
        <v>200000</v>
      </c>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v>98</v>
      </c>
      <c r="D105" s="467">
        <v>100</v>
      </c>
      <c r="E105" s="467">
        <f>D105-2</f>
        <v>98</v>
      </c>
      <c r="F105" s="467">
        <f t="shared" ref="F105:G105" si="70">E105-2</f>
        <v>96</v>
      </c>
      <c r="G105" s="467">
        <f t="shared" si="70"/>
        <v>94</v>
      </c>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3154" t="s">
        <v>3475</v>
      </c>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71">C107-$K35</f>
        <v>98</v>
      </c>
      <c r="E107" s="475">
        <f t="shared" si="71"/>
        <v>96</v>
      </c>
      <c r="F107" s="475">
        <f t="shared" si="71"/>
        <v>94</v>
      </c>
      <c r="G107" s="475">
        <f t="shared" si="71"/>
        <v>92</v>
      </c>
      <c r="H107" s="475">
        <f t="shared" si="71"/>
        <v>90</v>
      </c>
      <c r="I107" s="475">
        <f t="shared" si="71"/>
        <v>88</v>
      </c>
      <c r="J107" s="475">
        <f t="shared" si="71"/>
        <v>86</v>
      </c>
      <c r="K107" s="475">
        <f t="shared" si="71"/>
        <v>84</v>
      </c>
      <c r="L107" s="475">
        <f t="shared" si="71"/>
        <v>82</v>
      </c>
      <c r="M107" s="476">
        <f t="shared" si="71"/>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3154" t="s">
        <v>3579</v>
      </c>
      <c r="D108" s="3154" t="s">
        <v>3580</v>
      </c>
      <c r="E108" s="3154" t="s">
        <v>3581</v>
      </c>
      <c r="F108" s="3156" t="s">
        <v>3582</v>
      </c>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72">C109-$K36</f>
        <v>98</v>
      </c>
      <c r="E109" s="475">
        <f t="shared" si="72"/>
        <v>96</v>
      </c>
      <c r="F109" s="475">
        <f t="shared" si="72"/>
        <v>94</v>
      </c>
      <c r="G109" s="475">
        <f t="shared" si="72"/>
        <v>92</v>
      </c>
      <c r="H109" s="475">
        <f t="shared" si="72"/>
        <v>90</v>
      </c>
      <c r="I109" s="475">
        <f t="shared" si="72"/>
        <v>88</v>
      </c>
      <c r="J109" s="475">
        <f t="shared" si="72"/>
        <v>86</v>
      </c>
      <c r="K109" s="475">
        <f t="shared" si="72"/>
        <v>84</v>
      </c>
      <c r="L109" s="475">
        <f t="shared" si="72"/>
        <v>82</v>
      </c>
      <c r="M109" s="476">
        <f t="shared" si="72"/>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105</v>
      </c>
      <c r="E112" s="475">
        <f t="shared" ref="E112:M112" si="73">D112+$K37</f>
        <v>110</v>
      </c>
      <c r="F112" s="475">
        <f t="shared" si="73"/>
        <v>115</v>
      </c>
      <c r="G112" s="475">
        <f t="shared" si="73"/>
        <v>120</v>
      </c>
      <c r="H112" s="475">
        <f t="shared" si="73"/>
        <v>125</v>
      </c>
      <c r="I112" s="475">
        <f t="shared" si="73"/>
        <v>130</v>
      </c>
      <c r="J112" s="475">
        <f t="shared" si="73"/>
        <v>135</v>
      </c>
      <c r="K112" s="475">
        <f t="shared" si="73"/>
        <v>140</v>
      </c>
      <c r="L112" s="475">
        <f t="shared" si="73"/>
        <v>145</v>
      </c>
      <c r="M112" s="475">
        <f t="shared" si="73"/>
        <v>150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74">D114-$K38</f>
        <v>100</v>
      </c>
      <c r="F114" s="475">
        <f t="shared" si="74"/>
        <v>100</v>
      </c>
      <c r="G114" s="475">
        <f t="shared" si="74"/>
        <v>100</v>
      </c>
      <c r="H114" s="475">
        <f t="shared" si="74"/>
        <v>100</v>
      </c>
      <c r="I114" s="475">
        <f t="shared" si="74"/>
        <v>100</v>
      </c>
      <c r="J114" s="475">
        <f t="shared" si="74"/>
        <v>100</v>
      </c>
      <c r="K114" s="475">
        <f t="shared" si="74"/>
        <v>100</v>
      </c>
      <c r="L114" s="475">
        <f t="shared" si="74"/>
        <v>100</v>
      </c>
      <c r="M114" s="475">
        <f t="shared" si="7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3154" t="s">
        <v>3583</v>
      </c>
      <c r="D115" s="3154" t="s">
        <v>3584</v>
      </c>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75">C116-$K39</f>
        <v>98</v>
      </c>
      <c r="E116" s="475">
        <f t="shared" si="75"/>
        <v>96</v>
      </c>
      <c r="F116" s="475">
        <f t="shared" si="75"/>
        <v>94</v>
      </c>
      <c r="G116" s="475">
        <f t="shared" si="75"/>
        <v>92</v>
      </c>
      <c r="H116" s="475">
        <f t="shared" si="75"/>
        <v>90</v>
      </c>
      <c r="I116" s="475">
        <f t="shared" si="75"/>
        <v>88</v>
      </c>
      <c r="J116" s="475">
        <f t="shared" si="75"/>
        <v>86</v>
      </c>
      <c r="K116" s="475">
        <f t="shared" si="75"/>
        <v>84</v>
      </c>
      <c r="L116" s="475">
        <f t="shared" si="75"/>
        <v>82</v>
      </c>
      <c r="M116" s="476">
        <f t="shared" si="75"/>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485" t="str">
        <f>C83</f>
        <v>七通</v>
      </c>
      <c r="D117" s="485" t="str">
        <f>D83</f>
        <v>六通</v>
      </c>
      <c r="E117" s="485" t="str">
        <f>E83</f>
        <v>五通</v>
      </c>
      <c r="F117" s="485" t="str">
        <f>F83</f>
        <v>四通</v>
      </c>
      <c r="G117" s="485" t="str">
        <f>G83</f>
        <v>三通</v>
      </c>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3156" t="s">
        <v>3585</v>
      </c>
      <c r="D119" s="3156" t="s">
        <v>3586</v>
      </c>
      <c r="E119" s="513"/>
      <c r="F119" s="513"/>
      <c r="G119" s="513"/>
      <c r="H119" s="513"/>
      <c r="I119" s="513"/>
      <c r="J119" s="513"/>
      <c r="K119" s="513"/>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98</v>
      </c>
      <c r="E120" s="475">
        <f t="shared" ref="E120:M120" si="76">D120-$K41</f>
        <v>96</v>
      </c>
      <c r="F120" s="475">
        <f t="shared" si="76"/>
        <v>94</v>
      </c>
      <c r="G120" s="475">
        <f t="shared" si="76"/>
        <v>92</v>
      </c>
      <c r="H120" s="475">
        <f t="shared" si="76"/>
        <v>90</v>
      </c>
      <c r="I120" s="475">
        <f t="shared" si="76"/>
        <v>88</v>
      </c>
      <c r="J120" s="475">
        <f t="shared" si="76"/>
        <v>86</v>
      </c>
      <c r="K120" s="475">
        <f t="shared" si="76"/>
        <v>84</v>
      </c>
      <c r="L120" s="475">
        <f t="shared" si="76"/>
        <v>82</v>
      </c>
      <c r="M120" s="475">
        <f t="shared" si="76"/>
        <v>80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485" t="str">
        <f>C108</f>
        <v>精装修</v>
      </c>
      <c r="D123" s="485" t="str">
        <f>D108</f>
        <v>普通装修</v>
      </c>
      <c r="E123" s="485" t="str">
        <f>E108</f>
        <v>简单装修</v>
      </c>
      <c r="F123" s="485" t="str">
        <f>F108</f>
        <v>毛坯</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77">C124-$K43</f>
        <v>98</v>
      </c>
      <c r="E124" s="475">
        <f t="shared" si="77"/>
        <v>96</v>
      </c>
      <c r="F124" s="475">
        <f t="shared" si="77"/>
        <v>94</v>
      </c>
      <c r="G124" s="475">
        <f t="shared" si="77"/>
        <v>92</v>
      </c>
      <c r="H124" s="475">
        <f t="shared" si="77"/>
        <v>90</v>
      </c>
      <c r="I124" s="475">
        <f t="shared" si="77"/>
        <v>88</v>
      </c>
      <c r="J124" s="475">
        <f t="shared" si="77"/>
        <v>86</v>
      </c>
      <c r="K124" s="475">
        <f t="shared" si="77"/>
        <v>84</v>
      </c>
      <c r="L124" s="475">
        <f t="shared" si="77"/>
        <v>82</v>
      </c>
      <c r="M124" s="476">
        <f t="shared" si="77"/>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t="str">
        <f>B45</f>
        <v>地下占比</v>
      </c>
      <c r="C127" s="3157">
        <v>0</v>
      </c>
      <c r="D127" s="3157">
        <v>0.15</v>
      </c>
      <c r="E127" s="3151" t="s">
        <v>3567</v>
      </c>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3158">
        <v>100</v>
      </c>
      <c r="D128" s="3159">
        <v>90</v>
      </c>
      <c r="E128" s="3159">
        <v>85</v>
      </c>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E31" sqref="E3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380824</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45136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191043</v>
      </c>
      <c r="D5" s="203" t="s">
        <v>1469</v>
      </c>
      <c r="E5" s="204" t="s">
        <v>1470</v>
      </c>
      <c r="F5" s="204" t="s">
        <v>1471</v>
      </c>
      <c r="G5" s="205"/>
    </row>
    <row r="6" spans="1:9" s="206" customFormat="1" ht="13.5" customHeight="1">
      <c r="A6" s="729" t="s">
        <v>1472</v>
      </c>
      <c r="B6" s="207" t="s">
        <v>1473</v>
      </c>
      <c r="C6" s="208">
        <f ca="1">'基准地价（汇总）'!B2</f>
        <v>183752</v>
      </c>
      <c r="D6" s="209"/>
      <c r="E6" s="210"/>
      <c r="F6" s="210"/>
      <c r="G6" s="211"/>
    </row>
    <row r="7" spans="1:9" s="206" customFormat="1" ht="13.5" customHeight="1">
      <c r="A7" s="729" t="s">
        <v>1474</v>
      </c>
      <c r="B7" s="207" t="s">
        <v>1475</v>
      </c>
      <c r="C7" s="212">
        <f ca="1">ROUND(C6*F7,0)</f>
        <v>5604</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1687</v>
      </c>
      <c r="D8" s="214"/>
      <c r="E8" s="212"/>
      <c r="F8" s="213"/>
      <c r="G8" s="1711" t="s">
        <v>3546</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3547</v>
      </c>
      <c r="H9" s="1067"/>
      <c r="I9" s="1713" t="s">
        <v>1479</v>
      </c>
    </row>
    <row r="10" spans="1:9" s="206" customFormat="1" ht="13.5" customHeight="1">
      <c r="A10" s="730" t="s">
        <v>356</v>
      </c>
      <c r="B10" s="216" t="s">
        <v>1480</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84373.10000000002</v>
      </c>
      <c r="E19" s="203">
        <f>'数据-取费表'!B31</f>
        <v>200</v>
      </c>
      <c r="F19" s="223"/>
      <c r="G19" s="1711" t="s">
        <v>3548</v>
      </c>
    </row>
    <row r="20" spans="1:7" s="206" customFormat="1" ht="13.5" customHeight="1">
      <c r="A20" s="247" t="s">
        <v>1493</v>
      </c>
      <c r="B20" s="202" t="s">
        <v>1494</v>
      </c>
      <c r="C20" s="224">
        <f ca="1">ROUND((C5+C19)*F20,0)</f>
        <v>5731</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18592</v>
      </c>
      <c r="D22" s="227">
        <f ca="1">C26</f>
        <v>1.4E-3</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18323</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269</v>
      </c>
      <c r="D25" s="230"/>
      <c r="E25" s="233"/>
      <c r="F25" s="231"/>
      <c r="G25" s="234" t="s">
        <v>1510</v>
      </c>
    </row>
    <row r="26" spans="1:7" s="206" customFormat="1">
      <c r="A26" s="731"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39355</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39355</v>
      </c>
      <c r="D28" s="227"/>
      <c r="E28" s="228"/>
      <c r="F28" s="238"/>
      <c r="G28" s="239"/>
    </row>
    <row r="29" spans="1:7" s="206" customFormat="1" ht="13.5" customHeight="1">
      <c r="A29" s="731"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280129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71295</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63280</v>
      </c>
      <c r="D34" s="209"/>
      <c r="E34" s="212"/>
      <c r="F34" s="249">
        <f ca="1">IF('数据-取费表'!B24=0,1,IF(B1="",'数据-取费表'!N16,INDIRECT("'数据-取费表'!n"&amp;$G$1)))</f>
        <v>1</v>
      </c>
      <c r="G34" s="211" t="s">
        <v>1526</v>
      </c>
    </row>
    <row r="35" spans="1:7" ht="13.5" customHeight="1">
      <c r="A35" s="731" t="s">
        <v>351</v>
      </c>
      <c r="B35" s="207" t="s">
        <v>1527</v>
      </c>
      <c r="C35" s="212">
        <f ca="1">ROUND(C34*F35,0)</f>
        <v>5062</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1687</v>
      </c>
      <c r="D37" s="209">
        <f ca="1">D19</f>
        <v>84373.10000000002</v>
      </c>
      <c r="E37" s="241">
        <f>'数据-取费表'!B35</f>
        <v>200</v>
      </c>
      <c r="F37" s="251"/>
      <c r="G37" s="253" t="s">
        <v>1532</v>
      </c>
    </row>
    <row r="38" spans="1:7" ht="13.5" customHeight="1">
      <c r="A38" s="731" t="s">
        <v>354</v>
      </c>
      <c r="B38" s="207" t="s">
        <v>1533</v>
      </c>
      <c r="C38" s="212">
        <f ca="1">ROUND(C34*F38,0)</f>
        <v>1266</v>
      </c>
      <c r="D38" s="212"/>
      <c r="E38" s="212"/>
      <c r="F38" s="251">
        <f>'数据-取费表'!B36</f>
        <v>0.02</v>
      </c>
      <c r="G38" s="211" t="s">
        <v>1528</v>
      </c>
    </row>
    <row r="39" spans="1:7" s="206" customFormat="1" ht="13.5" customHeight="1">
      <c r="A39" s="247" t="s">
        <v>1534</v>
      </c>
      <c r="B39" s="202" t="s">
        <v>1535</v>
      </c>
      <c r="C39" s="224">
        <f ca="1">ROUND(C33*F20,0)</f>
        <v>2139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3441</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3341</v>
      </c>
      <c r="D42" s="230"/>
      <c r="E42" s="230"/>
      <c r="F42" s="231"/>
      <c r="G42" s="3438" t="s">
        <v>1544</v>
      </c>
    </row>
    <row r="43" spans="1:7" ht="13.5" customHeight="1">
      <c r="A43" s="731" t="s">
        <v>347</v>
      </c>
      <c r="B43" s="207" t="s">
        <v>1545</v>
      </c>
      <c r="C43" s="230">
        <f ca="1">ROUND(IF('数据-取费表'!B22&lt;=1,C39*F22*'数据-取费表'!B21/2,C39*(POWER((1+F22),'数据-取费表'!B21/2)-1)),0)</f>
        <v>100</v>
      </c>
      <c r="D43" s="230"/>
      <c r="E43" s="230"/>
      <c r="F43" s="231"/>
      <c r="G43" s="3439"/>
    </row>
    <row r="44" spans="1:7" ht="13.5" customHeight="1">
      <c r="A44" s="731" t="s">
        <v>348</v>
      </c>
      <c r="B44" s="207" t="s">
        <v>1546</v>
      </c>
      <c r="C44" s="230">
        <f ca="1">ROUND(IF('数据-取费表'!B22&lt;=1,C40*F22*'数据-取费表'!B21/2,C40*(POWER((1+F22),'数据-取费表'!B21/2)-1)),4)</f>
        <v>1.4E-3</v>
      </c>
      <c r="D44" s="230"/>
      <c r="E44" s="230"/>
      <c r="F44" s="231"/>
      <c r="G44" s="3440"/>
    </row>
    <row r="45" spans="1:7" s="206" customFormat="1" ht="13.5" customHeight="1">
      <c r="A45" s="247" t="s">
        <v>1547</v>
      </c>
      <c r="B45" s="236" t="s">
        <v>1513</v>
      </c>
      <c r="C45" s="237">
        <f ca="1">C46</f>
        <v>14687</v>
      </c>
      <c r="D45" s="227">
        <f ca="1">C47</f>
        <v>6.0000000000000001E-3</v>
      </c>
      <c r="E45" s="228" t="s">
        <v>1539</v>
      </c>
      <c r="F45" s="238">
        <f ca="1">F27</f>
        <v>0.2</v>
      </c>
      <c r="G45" s="239" t="s">
        <v>1548</v>
      </c>
    </row>
    <row r="46" spans="1:7" s="206" customFormat="1" ht="13.5" customHeight="1">
      <c r="A46" s="731" t="s">
        <v>346</v>
      </c>
      <c r="B46" s="240" t="s">
        <v>1549</v>
      </c>
      <c r="C46" s="241">
        <f ca="1">ROUND((C33+C39)*F27,0)</f>
        <v>14687</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100695</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100695</v>
      </c>
      <c r="D51" s="224"/>
      <c r="E51" s="224"/>
      <c r="F51" s="256"/>
      <c r="G51" s="226" t="s">
        <v>1560</v>
      </c>
    </row>
    <row r="52" spans="1:7" s="200" customFormat="1" ht="16.5" thickBot="1">
      <c r="A52" s="257" t="s">
        <v>1561</v>
      </c>
      <c r="B52" s="258"/>
      <c r="C52" s="259">
        <f ca="1">C31+C51</f>
        <v>380824</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2">
        <f ca="1">SUMIF(B6:B13,"&lt;&gt;#ref!",B6:B13)</f>
        <v>183752</v>
      </c>
      <c r="C2" s="1981" t="s">
        <v>2074</v>
      </c>
      <c r="D2" s="1981" t="s">
        <v>2075</v>
      </c>
      <c r="E2" s="2392">
        <f ca="1">SUMIF(E6:E13,"&lt;&gt;#ref!",E6:E13)</f>
        <v>56779.44000000001</v>
      </c>
      <c r="F2" s="2538"/>
      <c r="G2" s="2538"/>
      <c r="H2" s="2538"/>
      <c r="I2" s="2538"/>
      <c r="J2" s="2538"/>
      <c r="K2" s="2538"/>
      <c r="L2" s="2538"/>
      <c r="M2" s="2538"/>
      <c r="N2" s="2538"/>
      <c r="O2" s="2538"/>
      <c r="P2" s="2538"/>
    </row>
    <row r="3" spans="1:16" ht="15.75">
      <c r="A3" s="1981" t="s">
        <v>2076</v>
      </c>
      <c r="B3" s="2382">
        <f ca="1">ROUND(B2*10000/E2,0)</f>
        <v>32362</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2"/>
      <c r="D5" s="2538"/>
      <c r="E5" s="2391" t="s">
        <v>2079</v>
      </c>
      <c r="F5" s="2538"/>
      <c r="G5" s="2538"/>
      <c r="H5" s="2538"/>
      <c r="I5" s="2538"/>
      <c r="J5" s="2538"/>
      <c r="K5" s="2538"/>
      <c r="L5" s="2538"/>
      <c r="M5" s="2538"/>
      <c r="N5" s="2538"/>
      <c r="O5" s="2538"/>
      <c r="P5" s="2538"/>
    </row>
    <row r="6" spans="1:16" ht="15.75">
      <c r="A6" s="2389" t="s">
        <v>2080</v>
      </c>
      <c r="B6" s="2382">
        <f ca="1">SUMIF(INDIRECT("'"&amp;A6&amp;"'"&amp;"!A:A"),"总价",INDIRECT("'"&amp;A6&amp;"'"&amp;"!B:B"))</f>
        <v>87381</v>
      </c>
      <c r="C6" s="1981" t="s">
        <v>2074</v>
      </c>
      <c r="D6" s="2538"/>
      <c r="E6" s="2392">
        <f ca="1">SUMIF(INDIRECT("'"&amp;A6&amp;"'"&amp;"!C:C"),"建筑面积",INDIRECT("'"&amp;A6&amp;"'"&amp;"!D:D"))</f>
        <v>6877.51</v>
      </c>
      <c r="F6" s="2538"/>
      <c r="G6" s="2538"/>
      <c r="H6" s="2538"/>
      <c r="I6" s="2538"/>
      <c r="J6" s="2538"/>
      <c r="K6" s="2538"/>
      <c r="L6" s="2538"/>
      <c r="M6" s="2538"/>
      <c r="N6" s="2538"/>
      <c r="O6" s="2538"/>
      <c r="P6" s="2538"/>
    </row>
    <row r="7" spans="1:16" ht="15.75">
      <c r="A7" s="2389" t="s">
        <v>3544</v>
      </c>
      <c r="B7" s="2382">
        <f ca="1">SUMIF(INDIRECT("'"&amp;A7&amp;"'"&amp;"!A:A"),"总价",INDIRECT("'"&amp;A7&amp;"'"&amp;"!B:B"))</f>
        <v>96371</v>
      </c>
      <c r="C7" s="1981" t="s">
        <v>2074</v>
      </c>
      <c r="D7" s="2538"/>
      <c r="E7" s="2392">
        <f t="shared" ref="E7:E13" ca="1" si="0">SUMIF(INDIRECT("'"&amp;A7&amp;"'"&amp;"!C:C"),"建筑面积",INDIRECT("'"&amp;A7&amp;"'"&amp;"!D:D"))</f>
        <v>49901.930000000008</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7" sqref="V2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6877.51</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87381</v>
      </c>
      <c r="C2" s="1843" t="s">
        <v>1935</v>
      </c>
      <c r="D2" s="162" t="s">
        <v>1936</v>
      </c>
      <c r="E2" s="3085"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28">
        <f>ROUND(SUMPRODUCT((B106:B110=R2)*(C105:N105=G2)*(C106:N110)),4)</f>
        <v>1.5206</v>
      </c>
      <c r="T2" s="3028">
        <f t="shared" ref="T2:T16" si="0">ROUND($C$5*$C$22*$C$23*$C$24*S2*$C$28,0)</f>
        <v>37479</v>
      </c>
      <c r="U2" s="1127">
        <f>面积表!C4+面积表!C12</f>
        <v>5161.3899999999994</v>
      </c>
      <c r="V2" s="3028">
        <f>ROUND(T2*U2/10000,0)</f>
        <v>19344</v>
      </c>
      <c r="W2" s="1130"/>
      <c r="X2" s="1130"/>
      <c r="Y2" s="1130"/>
      <c r="Z2" s="1130"/>
      <c r="AA2" s="1130"/>
      <c r="AB2" s="1130"/>
      <c r="AC2" s="1131"/>
      <c r="AD2" s="1132"/>
      <c r="AE2" s="1132"/>
      <c r="AF2" s="1132"/>
      <c r="AG2" s="1132"/>
      <c r="AH2" s="1132"/>
      <c r="AI2" s="1132"/>
      <c r="AJ2" s="1133"/>
    </row>
    <row r="3" spans="1:36" ht="15.75">
      <c r="A3" s="195" t="s">
        <v>1940</v>
      </c>
      <c r="B3" s="196">
        <f>ROUND(B2*10000/D1,0)</f>
        <v>127053</v>
      </c>
      <c r="C3" s="1843" t="s">
        <v>1941</v>
      </c>
      <c r="D3" s="162" t="s">
        <v>1942</v>
      </c>
      <c r="E3" s="3083" t="s">
        <v>2437</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28">
        <f>ROUND(SUMPRODUCT((B106:B110=R3)*(C105:N105=G2)*(C106:N110)),4)</f>
        <v>1.2072000000000001</v>
      </c>
      <c r="T3" s="3028">
        <f t="shared" si="0"/>
        <v>29754</v>
      </c>
      <c r="U3" s="1127">
        <f>面积表!C5+面积表!C13</f>
        <v>4919.5599999999995</v>
      </c>
      <c r="V3" s="3028">
        <f t="shared" ref="V3:V16" si="1">ROUND(T3*U3/10000,0)</f>
        <v>14638</v>
      </c>
      <c r="W3" s="1130"/>
      <c r="X3" s="1130"/>
      <c r="Y3" s="1130"/>
      <c r="Z3" s="1130"/>
      <c r="AA3" s="1130"/>
      <c r="AB3" s="1130"/>
      <c r="AC3" s="1131"/>
      <c r="AD3" s="1132"/>
      <c r="AE3" s="1132"/>
      <c r="AF3" s="1132"/>
      <c r="AG3" s="1132"/>
      <c r="AH3" s="1132"/>
      <c r="AI3" s="1132"/>
      <c r="AJ3" s="1133"/>
    </row>
    <row r="4" spans="1:36" ht="15.75">
      <c r="A4" s="3448"/>
      <c r="B4" s="3449"/>
      <c r="C4" s="3449"/>
      <c r="D4" s="3450"/>
      <c r="E4" s="3450"/>
      <c r="F4" s="3450"/>
      <c r="G4" s="3450"/>
      <c r="H4" s="3450"/>
      <c r="I4" s="3450"/>
      <c r="J4" s="345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28">
        <f>ROUND(SUMPRODUCT((B106:B110=R4)*(C105:N105=G2)*(C106:N110)),4)</f>
        <v>1.0430999999999999</v>
      </c>
      <c r="T4" s="3028">
        <f t="shared" si="0"/>
        <v>25710</v>
      </c>
      <c r="U4" s="1127">
        <f>面积表!C6+面积表!C14</f>
        <v>5837.57</v>
      </c>
      <c r="V4" s="3028">
        <f t="shared" si="1"/>
        <v>15008</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30503</v>
      </c>
      <c r="D5" s="1249">
        <f>ROUND(C6*C17+C20,0)</f>
        <v>30503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28">
        <f>ROUND(SUMPRODUCT((B106:B110=R5)*(C105:N105=G2)*(C106:N110)),4)</f>
        <v>0.94389999999999996</v>
      </c>
      <c r="T5" s="3028">
        <f t="shared" si="0"/>
        <v>23265</v>
      </c>
      <c r="U5" s="1127">
        <f>面积表!C7+面积表!C15</f>
        <v>5837.57</v>
      </c>
      <c r="V5" s="3028">
        <f t="shared" si="1"/>
        <v>13581</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28">
        <f>ROUND(SUMPRODUCT((B106:B110=R6)*(C105:N105=G2)*(C106:N110)),4)</f>
        <v>0.89959999999999996</v>
      </c>
      <c r="T6" s="3028">
        <f t="shared" si="0"/>
        <v>22173</v>
      </c>
      <c r="U6" s="1127">
        <f>面积表!C8+面积表!C16</f>
        <v>5837.57</v>
      </c>
      <c r="V6" s="3028">
        <f t="shared" si="1"/>
        <v>12944</v>
      </c>
      <c r="W6" s="1130"/>
      <c r="X6" s="1130"/>
      <c r="Y6" s="1130"/>
      <c r="Z6" s="1130"/>
      <c r="AA6" s="1130"/>
      <c r="AB6" s="1130"/>
      <c r="AC6" s="1852"/>
      <c r="AD6" s="1853"/>
      <c r="AE6" s="1853"/>
      <c r="AF6" s="1853"/>
      <c r="AG6" s="1853"/>
      <c r="AH6" s="1853"/>
      <c r="AI6" s="1853"/>
      <c r="AJ6" s="1854"/>
    </row>
    <row r="7" spans="1:36" ht="24.75" thickBot="1">
      <c r="A7" s="297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082"/>
      <c r="T7" s="3028">
        <f t="shared" si="0"/>
        <v>0</v>
      </c>
      <c r="U7" s="1127"/>
      <c r="V7" s="302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297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28">
        <f t="shared" si="0"/>
        <v>0</v>
      </c>
      <c r="U8" s="1127"/>
      <c r="V8" s="3028">
        <f t="shared" si="1"/>
        <v>0</v>
      </c>
      <c r="W8" s="3445" t="s">
        <v>1960</v>
      </c>
      <c r="X8" s="344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297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28">
        <f t="shared" si="0"/>
        <v>0</v>
      </c>
      <c r="U9" s="1127"/>
      <c r="V9" s="3028">
        <f t="shared" si="1"/>
        <v>0</v>
      </c>
      <c r="W9" s="3447"/>
      <c r="X9" s="3029" t="s">
        <v>3266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28">
        <f t="shared" si="0"/>
        <v>0</v>
      </c>
      <c r="U10" s="1127"/>
      <c r="V10" s="3028">
        <f t="shared" si="1"/>
        <v>0</v>
      </c>
      <c r="W10" s="3447"/>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28">
        <f t="shared" si="0"/>
        <v>0</v>
      </c>
      <c r="U11" s="1127"/>
      <c r="V11" s="3028">
        <f t="shared" si="1"/>
        <v>0</v>
      </c>
      <c r="W11" s="1130"/>
      <c r="X11" s="1130"/>
      <c r="Y11" s="1130"/>
      <c r="Z11" s="1130"/>
      <c r="AA11" s="1130"/>
      <c r="AB11" s="1130"/>
      <c r="AC11" s="1131"/>
      <c r="AD11" s="2547"/>
      <c r="AE11" s="2547"/>
      <c r="AF11" s="2547"/>
      <c r="AG11" s="2547"/>
      <c r="AH11" s="2547"/>
      <c r="AI11" s="2547"/>
      <c r="AJ11" s="2548"/>
    </row>
    <row r="12" spans="1:36" ht="25.5" thickBot="1">
      <c r="A12" s="2977" t="s">
        <v>3236</v>
      </c>
      <c r="B12" s="2978" t="s">
        <v>3237</v>
      </c>
      <c r="C12" s="2979"/>
      <c r="D12" s="2980" t="s">
        <v>3238</v>
      </c>
      <c r="E12" s="2981" t="s">
        <v>3239</v>
      </c>
      <c r="F12" s="2982"/>
      <c r="G12" s="2983"/>
      <c r="H12" s="2983"/>
      <c r="I12" s="2983"/>
      <c r="J12" s="298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28">
        <f t="shared" si="0"/>
        <v>0</v>
      </c>
      <c r="U12" s="1127"/>
      <c r="V12" s="3028">
        <f t="shared" si="1"/>
        <v>0</v>
      </c>
      <c r="W12" s="1130"/>
      <c r="X12" s="1130"/>
      <c r="Y12" s="1130"/>
      <c r="Z12" s="1130"/>
      <c r="AA12" s="1130"/>
      <c r="AB12" s="1130"/>
      <c r="AC12" s="1131"/>
      <c r="AD12" s="2547"/>
      <c r="AE12" s="2547"/>
      <c r="AF12" s="2547"/>
      <c r="AG12" s="2547"/>
      <c r="AH12" s="2547"/>
      <c r="AI12" s="2547"/>
      <c r="AJ12" s="2548"/>
    </row>
    <row r="13" spans="1:36" ht="15.75" thickBot="1">
      <c r="A13" s="2977" t="s">
        <v>3240</v>
      </c>
      <c r="B13" s="1875" t="s">
        <v>1982</v>
      </c>
      <c r="C13" s="708">
        <f>ROUND(C16*D16*E16*F16*G16*H16*I16*J16,4)</f>
        <v>0</v>
      </c>
      <c r="D13" s="1876" t="s">
        <v>1983</v>
      </c>
      <c r="E13" s="1877"/>
      <c r="F13" s="1877"/>
      <c r="G13" s="1878"/>
      <c r="H13" s="1878"/>
      <c r="I13" s="1878"/>
      <c r="J13" s="1879"/>
      <c r="K13" s="1053"/>
      <c r="L13" s="3"/>
      <c r="M13" s="4"/>
      <c r="N13" s="2975"/>
      <c r="O13" s="1053"/>
      <c r="P13" s="1053"/>
      <c r="Q13" s="1053"/>
      <c r="R13" s="1126">
        <v>12</v>
      </c>
      <c r="S13" s="1127"/>
      <c r="T13" s="3028">
        <f t="shared" si="0"/>
        <v>0</v>
      </c>
      <c r="U13" s="1127"/>
      <c r="V13" s="3028">
        <f t="shared" si="1"/>
        <v>0</v>
      </c>
      <c r="W13" s="1130"/>
      <c r="X13" s="1130"/>
      <c r="Y13" s="1130"/>
      <c r="Z13" s="1130"/>
      <c r="AA13" s="1130"/>
      <c r="AB13" s="1130"/>
      <c r="AC13" s="1131"/>
      <c r="AD13" s="2547"/>
      <c r="AE13" s="2547"/>
      <c r="AF13" s="2547"/>
      <c r="AG13" s="2547"/>
      <c r="AH13" s="2547"/>
      <c r="AI13" s="2547"/>
      <c r="AJ13" s="2548"/>
    </row>
    <row r="14" spans="1:36" ht="15">
      <c r="A14" s="2973"/>
      <c r="B14" s="1880" t="s">
        <v>1985</v>
      </c>
      <c r="C14" s="1881" t="s">
        <v>1986</v>
      </c>
      <c r="D14" s="1258" t="s">
        <v>1987</v>
      </c>
      <c r="E14" s="27" t="s">
        <v>1988</v>
      </c>
      <c r="F14" s="2985" t="s">
        <v>3241</v>
      </c>
      <c r="G14" s="2985" t="s">
        <v>3241</v>
      </c>
      <c r="H14" s="2985" t="s">
        <v>3241</v>
      </c>
      <c r="I14" s="2985" t="s">
        <v>3241</v>
      </c>
      <c r="J14" s="2985" t="s">
        <v>3241</v>
      </c>
      <c r="K14" s="1053"/>
      <c r="L14" s="1053"/>
      <c r="M14" s="1053"/>
      <c r="N14" s="1053"/>
      <c r="O14" s="1053"/>
      <c r="P14" s="1053"/>
      <c r="Q14" s="1053"/>
      <c r="R14" s="1126">
        <v>13</v>
      </c>
      <c r="S14" s="1127"/>
      <c r="T14" s="3028">
        <f t="shared" si="0"/>
        <v>0</v>
      </c>
      <c r="U14" s="1127"/>
      <c r="V14" s="3028">
        <f t="shared" si="1"/>
        <v>0</v>
      </c>
      <c r="W14" s="1130"/>
      <c r="X14" s="1130"/>
      <c r="Y14" s="1130"/>
      <c r="Z14" s="1130"/>
      <c r="AA14" s="1130"/>
      <c r="AB14" s="1130"/>
      <c r="AC14" s="1131"/>
      <c r="AD14" s="2547"/>
      <c r="AE14" s="2547"/>
      <c r="AF14" s="2547"/>
      <c r="AG14" s="2547"/>
      <c r="AH14" s="2547"/>
      <c r="AI14" s="2547"/>
      <c r="AJ14" s="2548"/>
    </row>
    <row r="15" spans="1:36" ht="15">
      <c r="A15" s="2973"/>
      <c r="B15" s="1882"/>
      <c r="C15" s="1883"/>
      <c r="D15" s="1884"/>
      <c r="E15" s="1885"/>
      <c r="F15" s="1467" t="s">
        <v>3242</v>
      </c>
      <c r="G15" s="1925"/>
      <c r="H15" s="2986"/>
      <c r="I15" s="2987"/>
      <c r="J15" s="2988"/>
      <c r="K15" s="1053"/>
      <c r="L15" s="1053"/>
      <c r="M15" s="1053"/>
      <c r="N15" s="1053"/>
      <c r="O15" s="1053"/>
      <c r="P15" s="1053"/>
      <c r="Q15" s="1053"/>
      <c r="R15" s="1126">
        <v>14</v>
      </c>
      <c r="S15" s="1127"/>
      <c r="T15" s="3028">
        <f t="shared" si="0"/>
        <v>0</v>
      </c>
      <c r="U15" s="1127"/>
      <c r="V15" s="3028">
        <f t="shared" si="1"/>
        <v>0</v>
      </c>
      <c r="W15" s="1130"/>
      <c r="X15" s="1130"/>
      <c r="Y15" s="1130"/>
      <c r="Z15" s="1130"/>
      <c r="AA15" s="1130"/>
      <c r="AB15" s="1130"/>
      <c r="AC15" s="1131"/>
      <c r="AD15" s="2547"/>
      <c r="AE15" s="2547"/>
      <c r="AF15" s="2547"/>
      <c r="AG15" s="2547"/>
      <c r="AH15" s="2547"/>
      <c r="AI15" s="2547"/>
      <c r="AJ15" s="2548"/>
    </row>
    <row r="16" spans="1:36" ht="15.75" thickBot="1">
      <c r="A16" s="2973"/>
      <c r="B16" s="2991" t="s">
        <v>1989</v>
      </c>
      <c r="C16" s="2989"/>
      <c r="D16" s="2989"/>
      <c r="E16" s="2989"/>
      <c r="F16" s="2989">
        <v>1</v>
      </c>
      <c r="G16" s="2989">
        <v>1</v>
      </c>
      <c r="H16" s="2989">
        <v>1</v>
      </c>
      <c r="I16" s="2989">
        <v>1</v>
      </c>
      <c r="J16" s="2990">
        <v>1</v>
      </c>
      <c r="K16" s="1053"/>
      <c r="L16" s="1841"/>
      <c r="M16" s="1841"/>
      <c r="N16" s="1841"/>
      <c r="O16" s="1841"/>
      <c r="P16" s="1841"/>
      <c r="Q16" s="1053"/>
      <c r="R16" s="1126">
        <v>15</v>
      </c>
      <c r="S16" s="1127"/>
      <c r="T16" s="3028">
        <f t="shared" si="0"/>
        <v>0</v>
      </c>
      <c r="U16" s="1127"/>
      <c r="V16" s="3028">
        <f t="shared" si="1"/>
        <v>0</v>
      </c>
      <c r="W16" s="1130"/>
      <c r="X16" s="1130"/>
      <c r="Y16" s="1130"/>
      <c r="Z16" s="1130"/>
      <c r="AA16" s="1130"/>
      <c r="AB16" s="1130"/>
      <c r="AC16" s="1131"/>
      <c r="AD16" s="2547"/>
      <c r="AE16" s="2547"/>
      <c r="AF16" s="2547"/>
      <c r="AG16" s="2547"/>
      <c r="AH16" s="2547"/>
      <c r="AI16" s="2547"/>
      <c r="AJ16" s="2548"/>
    </row>
    <row r="17" spans="1:37">
      <c r="A17" s="3000" t="s">
        <v>3243</v>
      </c>
      <c r="B17" s="2992" t="s">
        <v>3244</v>
      </c>
      <c r="C17" s="3001">
        <f>ROUND(IF(OR(E2="工业",E2="公共服务"),1,IF(AND(E18=0,E19=0),1,IF(AND(E18=J24,E19=G19),0.8,IF(E19=0,1+E17*(-0.2),1+E17*G17*(-0.2))))),4)</f>
        <v>1</v>
      </c>
      <c r="D17" s="2993" t="s">
        <v>3245</v>
      </c>
      <c r="E17" s="3001">
        <f>ROUND(G18/I18,2)</f>
        <v>0</v>
      </c>
      <c r="F17" s="2993" t="s">
        <v>3248</v>
      </c>
      <c r="G17" s="3001" t="e">
        <f>ROUND(E19/G19,2)</f>
        <v>#DIV/0!</v>
      </c>
      <c r="H17" s="3001"/>
      <c r="I17" s="3001"/>
      <c r="J17" s="300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03"/>
      <c r="B18" s="2304"/>
      <c r="C18" s="2999"/>
      <c r="D18" s="2994" t="s">
        <v>3246</v>
      </c>
      <c r="E18" s="2351"/>
      <c r="F18" s="2995" t="s">
        <v>3249</v>
      </c>
      <c r="G18" s="2999">
        <f>ROUND(1-(1/(POWER(1+G24,E18))),4)</f>
        <v>0</v>
      </c>
      <c r="H18" s="2995" t="s">
        <v>3251</v>
      </c>
      <c r="I18" s="2999">
        <f>ROUND(1-(1/(POWER(1+G24,J24))),4)</f>
        <v>0.88249999999999995</v>
      </c>
      <c r="J18" s="300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05"/>
      <c r="B19" s="3006"/>
      <c r="C19" s="3007"/>
      <c r="D19" s="3007" t="s">
        <v>3247</v>
      </c>
      <c r="E19" s="3008"/>
      <c r="F19" s="3009" t="s">
        <v>3250</v>
      </c>
      <c r="G19" s="3008"/>
      <c r="H19" s="3007"/>
      <c r="I19" s="3007"/>
      <c r="J19" s="301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52" t="s">
        <v>3252</v>
      </c>
      <c r="B20" s="159" t="s">
        <v>1994</v>
      </c>
      <c r="C20" s="2996">
        <f>ROUND(IF(F21="与级别开发程度一致",0,(G21-E21)/C21),0)</f>
        <v>-17</v>
      </c>
      <c r="D20" s="3011" t="s">
        <v>1998</v>
      </c>
      <c r="E20" s="3012"/>
      <c r="F20" s="3458" t="s">
        <v>1995</v>
      </c>
      <c r="G20" s="3459"/>
      <c r="H20" s="2997" t="s">
        <v>3535</v>
      </c>
      <c r="I20" s="2997" t="s">
        <v>3536</v>
      </c>
      <c r="J20" s="2998"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53"/>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64"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45635</v>
      </c>
      <c r="H23" s="3013" t="s">
        <v>3254</v>
      </c>
      <c r="I23" s="3014" t="str">
        <f>IF(H23="季度增幅（自定义）",SUMIF(N25:N28,E2,O25:O28),"")</f>
        <v/>
      </c>
      <c r="J23" s="3106"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0.73929999999999996</v>
      </c>
      <c r="D24" s="1899" t="s">
        <v>2007</v>
      </c>
      <c r="E24" s="1245">
        <f>存贷款利率!E27/100</f>
        <v>4.3499999999999997E-2</v>
      </c>
      <c r="F24" s="1899" t="s">
        <v>1999</v>
      </c>
      <c r="G24" s="721">
        <f>SUMIF(M30:Q30,E2,M33:Q33)</f>
        <v>5.5E-2</v>
      </c>
      <c r="H24" s="1899" t="s">
        <v>2008</v>
      </c>
      <c r="I24" s="722">
        <f>SUMIF('数据-取费表'!C6:C15,E2,'数据-取费表'!F6:F15)/COUNTIF('数据-取费表'!C6:C15,E2)</f>
        <v>19.739999999999998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3542</v>
      </c>
      <c r="C25" s="461">
        <f>IF(B25="容积率修正",IF(G3&lt;10,D26,J26),C27)</f>
        <v>1.5206</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1.0461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87381</v>
      </c>
      <c r="D30" s="1922"/>
      <c r="E30" s="1839"/>
      <c r="F30" s="1923"/>
      <c r="G30" s="1839"/>
      <c r="H30" s="1839"/>
      <c r="I30" s="1839"/>
      <c r="J30" s="1924"/>
      <c r="K30" s="1053"/>
      <c r="L30" s="3020" t="s">
        <v>1936</v>
      </c>
      <c r="M30" s="3021" t="s">
        <v>1990</v>
      </c>
      <c r="N30" s="3021" t="s">
        <v>1991</v>
      </c>
      <c r="O30" s="3021" t="s">
        <v>1992</v>
      </c>
      <c r="P30" s="3021" t="s">
        <v>1993</v>
      </c>
      <c r="Q30" s="302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2966</v>
      </c>
      <c r="D31" s="1926"/>
      <c r="E31" s="1927"/>
      <c r="F31" s="1928"/>
      <c r="G31" s="1927"/>
      <c r="H31" s="1927"/>
      <c r="I31" s="1927"/>
      <c r="J31" s="1929"/>
      <c r="K31" s="1053"/>
      <c r="L31" s="3022" t="s">
        <v>1996</v>
      </c>
      <c r="M31" s="162">
        <v>0.25</v>
      </c>
      <c r="N31" s="162">
        <v>0.2</v>
      </c>
      <c r="O31" s="162">
        <v>0.15</v>
      </c>
      <c r="P31" s="162">
        <v>0.1</v>
      </c>
      <c r="Q31" s="301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23" t="s">
        <v>1999</v>
      </c>
      <c r="M32" s="2350">
        <f>ROUND($E$24*(1+M31),3)</f>
        <v>5.3999999999999999E-2</v>
      </c>
      <c r="N32" s="2350">
        <f>ROUND($E$24*(1+N31),3)</f>
        <v>5.1999999999999998E-2</v>
      </c>
      <c r="O32" s="2350">
        <f>ROUND($E$24*(1+O31),3)</f>
        <v>0.05</v>
      </c>
      <c r="P32" s="2350">
        <f>ROUND($E$24*(1+P31),3)</f>
        <v>4.8000000000000001E-2</v>
      </c>
      <c r="Q32" s="302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37479</v>
      </c>
      <c r="D33" s="1937"/>
      <c r="E33" s="724">
        <f>ROUND(C33*D33/10000,0)</f>
        <v>0</v>
      </c>
      <c r="F33" s="3015" t="s">
        <v>3258</v>
      </c>
      <c r="G33" s="1938"/>
      <c r="H33" s="1938"/>
      <c r="I33" s="1938"/>
      <c r="J33" s="1939"/>
      <c r="K33" s="1053"/>
      <c r="L33" s="3018" t="s">
        <v>3261</v>
      </c>
      <c r="M33" s="3019">
        <v>5.5E-2</v>
      </c>
      <c r="N33" s="3019">
        <v>5.5E-2</v>
      </c>
      <c r="O33" s="3019">
        <v>0.05</v>
      </c>
      <c r="P33" s="3019">
        <v>0.05</v>
      </c>
      <c r="Q33" s="301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18" t="s">
        <v>3262</v>
      </c>
      <c r="M34" s="3019">
        <v>6.5000000000000002E-2</v>
      </c>
      <c r="N34" s="3019">
        <v>6.5000000000000002E-2</v>
      </c>
      <c r="O34" s="3019">
        <v>0.06</v>
      </c>
      <c r="P34" s="3019">
        <v>0.06</v>
      </c>
      <c r="Q34" s="301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1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0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6"/>
      <c r="B37" s="1952" t="s">
        <v>2036</v>
      </c>
      <c r="C37" s="167">
        <f>ROUND(D5*C22*C23*C24*C28*F37,0)</f>
        <v>17253</v>
      </c>
      <c r="D37" s="3166">
        <f>'数据-汇总表'!G19</f>
        <v>6877.51</v>
      </c>
      <c r="E37" s="163">
        <f>ROUND(C37*D37/10000,0)</f>
        <v>11866</v>
      </c>
      <c r="F37" s="163">
        <f>SUMIF(修正!A57:A68,G2,修正!B57:B68)</f>
        <v>0.7</v>
      </c>
      <c r="G37" s="163">
        <f>ROUND(IF(E2="工业",C37*$M$42,C37*$M$41),0)</f>
        <v>4313</v>
      </c>
      <c r="H37" s="163">
        <f>D37</f>
        <v>6877.51</v>
      </c>
      <c r="I37" s="163">
        <f>ROUND(G37*H37/10000,0)</f>
        <v>2966</v>
      </c>
      <c r="J37" s="2748"/>
      <c r="K37" s="3026"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7"/>
      <c r="B38" s="1881" t="s">
        <v>2037</v>
      </c>
      <c r="C38" s="167">
        <f>ROUND(D5*C22*C23*C24*C28*F38,0)</f>
        <v>9859</v>
      </c>
      <c r="D38" s="1937"/>
      <c r="E38" s="163">
        <f t="shared" ref="E38:E42" si="4">ROUND(C38*D38/10000,0)</f>
        <v>0</v>
      </c>
      <c r="F38" s="163">
        <f>SUMIF(修正!A57:A68,G2,修正!C57:C68)</f>
        <v>0.4</v>
      </c>
      <c r="G38" s="163">
        <f>ROUND(IF(E2="工业",C38*$M$42,C38*$M$41),0)</f>
        <v>2465</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7"/>
      <c r="B39" s="1881" t="s">
        <v>3257</v>
      </c>
      <c r="C39" s="167">
        <f>ROUND(D5*C22*C23*C24*C28*F39,0)</f>
        <v>7394</v>
      </c>
      <c r="D39" s="1937"/>
      <c r="E39" s="163">
        <f t="shared" si="4"/>
        <v>0</v>
      </c>
      <c r="F39" s="163">
        <f>SUMIF(修正!A57:A68,G2,修正!D57:D68)</f>
        <v>0.3</v>
      </c>
      <c r="G39" s="163">
        <f>ROUND(IF(E2="工业",C39*$M$42,C39*$M$41),0)</f>
        <v>1849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7394</v>
      </c>
      <c r="D40" s="1937"/>
      <c r="E40" s="163">
        <f t="shared" si="4"/>
        <v>0</v>
      </c>
      <c r="F40" s="167">
        <f>SUMIF(修正!A57:A68,G2,修正!E57:E68)</f>
        <v>0.3</v>
      </c>
      <c r="G40" s="163">
        <f>ROUND(IF(E2="工业",C40*$M$42,C40*$M$41),0)</f>
        <v>1849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8556</v>
      </c>
      <c r="D41" s="1937"/>
      <c r="E41" s="163">
        <f t="shared" si="4"/>
        <v>0</v>
      </c>
      <c r="F41" s="167">
        <f>SUMIF(修正!A57:A68,G2,修正!F57:F68)</f>
        <v>0.3</v>
      </c>
      <c r="G41" s="163">
        <f>ROUND(IF(E2="工业",C41*$M$42,C41*$M$41),0)</f>
        <v>2139</v>
      </c>
      <c r="H41" s="163">
        <f t="shared" si="5"/>
        <v>0</v>
      </c>
      <c r="I41" s="163">
        <f t="shared" si="6"/>
        <v>0</v>
      </c>
      <c r="J41" s="936"/>
      <c r="L41" s="302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5704</v>
      </c>
      <c r="D42" s="1942"/>
      <c r="E42" s="179">
        <f t="shared" si="4"/>
        <v>0</v>
      </c>
      <c r="F42" s="720">
        <f>SUMIF(修正!A57:A68,G2,修正!G57:G68)</f>
        <v>0.2</v>
      </c>
      <c r="G42" s="179">
        <f>ROUND(IF(E2="工业",C42*$M$42,C42*$M$41),0)</f>
        <v>1426</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1.0461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3561</v>
      </c>
      <c r="D50" s="999">
        <f t="shared" ref="D50:D58" si="7">SUMIF($J$49:$N$49,C50,J50:N50)</f>
        <v>1.4500000000000001E-2</v>
      </c>
      <c r="E50" s="699">
        <f>ROUND(SUM(D50:D58),4)</f>
        <v>4.6100000000000002E-2</v>
      </c>
      <c r="F50" s="1672">
        <f>IF(E2="商业",SUMIF(L1:L12,G2,N1:N12),"——")</f>
        <v>9.7000000000000003E-2</v>
      </c>
      <c r="G50" s="997">
        <v>1.4500000000000001E-2</v>
      </c>
      <c r="H50" s="1000">
        <f t="shared" ref="H50:H58" si="8">IFERROR(ROUNDDOWN($F$50*I50/2,4),"——")</f>
        <v>1.4500000000000001E-2</v>
      </c>
      <c r="I50" s="3033">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较好</v>
      </c>
      <c r="C51" s="1884" t="s">
        <v>3561</v>
      </c>
      <c r="D51" s="999">
        <f t="shared" si="7"/>
        <v>1.06E-2</v>
      </c>
      <c r="E51" s="700"/>
      <c r="F51" s="1672"/>
      <c r="G51" s="997">
        <v>1.06E-2</v>
      </c>
      <c r="H51" s="1000">
        <f t="shared" si="8"/>
        <v>1.06E-2</v>
      </c>
      <c r="I51" s="3033">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35" t="s">
        <v>3267</v>
      </c>
      <c r="B52" s="1259">
        <f>估价对象房地状况!C19</f>
        <v>0</v>
      </c>
      <c r="C52" s="1884" t="s">
        <v>3561</v>
      </c>
      <c r="D52" s="999">
        <f t="shared" si="7"/>
        <v>5.7999999999999996E-3</v>
      </c>
      <c r="E52" s="700"/>
      <c r="F52" s="1672"/>
      <c r="G52" s="997">
        <v>5.7999999999999996E-3</v>
      </c>
      <c r="H52" s="1000">
        <f t="shared" si="8"/>
        <v>5.7999999999999996E-3</v>
      </c>
      <c r="I52" s="3033">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3561</v>
      </c>
      <c r="D53" s="999">
        <f t="shared" si="7"/>
        <v>2.3999999999999998E-3</v>
      </c>
      <c r="E53" s="700"/>
      <c r="F53" s="1672"/>
      <c r="G53" s="997">
        <v>2.3999999999999998E-3</v>
      </c>
      <c r="H53" s="1000">
        <f t="shared" si="8"/>
        <v>2.3999999999999998E-3</v>
      </c>
      <c r="I53" s="3033">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3165" t="s">
        <v>3576</v>
      </c>
      <c r="D54" s="999">
        <f t="shared" si="7"/>
        <v>-2E-3</v>
      </c>
      <c r="E54" s="700"/>
      <c r="F54" s="1672"/>
      <c r="G54" s="997">
        <v>2E-3</v>
      </c>
      <c r="H54" s="1000">
        <f t="shared" si="8"/>
        <v>3.8E-3</v>
      </c>
      <c r="I54" s="3033">
        <v>0.08</v>
      </c>
      <c r="J54" s="998">
        <f t="shared" si="9"/>
        <v>4.0000000000000001E-3</v>
      </c>
      <c r="K54" s="998">
        <f t="shared" si="10"/>
        <v>2E-3</v>
      </c>
      <c r="L54" s="998">
        <v>0</v>
      </c>
      <c r="M54" s="998">
        <f t="shared" si="11"/>
        <v>-2E-3</v>
      </c>
      <c r="N54" s="998">
        <f t="shared" si="11"/>
        <v>-4.0000000000000001E-3</v>
      </c>
      <c r="AA54" s="1054"/>
      <c r="AB54" s="1054"/>
      <c r="AC54" s="1054"/>
      <c r="AD54" s="1054"/>
      <c r="AE54" s="1054"/>
      <c r="AF54" s="1054"/>
      <c r="AG54" s="1054"/>
      <c r="AH54" s="1054"/>
      <c r="AI54" s="1054"/>
      <c r="AJ54" s="1054"/>
      <c r="AK54" s="1054"/>
    </row>
    <row r="55" spans="1:37" s="1053" customFormat="1" ht="24">
      <c r="A55" s="1967" t="s">
        <v>2057</v>
      </c>
      <c r="B55" s="1972" t="s">
        <v>2058</v>
      </c>
      <c r="C55" s="1884" t="s">
        <v>3561</v>
      </c>
      <c r="D55" s="999">
        <f t="shared" si="7"/>
        <v>2.3999999999999998E-3</v>
      </c>
      <c r="E55" s="700"/>
      <c r="F55" s="1672"/>
      <c r="G55" s="997">
        <v>2.3999999999999998E-3</v>
      </c>
      <c r="H55" s="1000">
        <f t="shared" si="8"/>
        <v>2.3999999999999998E-3</v>
      </c>
      <c r="I55" s="3033">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3561</v>
      </c>
      <c r="D56" s="999">
        <f t="shared" si="7"/>
        <v>2.3999999999999998E-3</v>
      </c>
      <c r="E56" s="700"/>
      <c r="F56" s="1672"/>
      <c r="G56" s="997">
        <v>2.3999999999999998E-3</v>
      </c>
      <c r="H56" s="1000">
        <f t="shared" si="8"/>
        <v>2.3999999999999998E-3</v>
      </c>
      <c r="I56" s="3033">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3575</v>
      </c>
      <c r="D57" s="999">
        <f t="shared" si="7"/>
        <v>7.6E-3</v>
      </c>
      <c r="E57" s="700"/>
      <c r="F57" s="1672"/>
      <c r="G57" s="997">
        <v>3.8E-3</v>
      </c>
      <c r="H57" s="1000">
        <f t="shared" si="8"/>
        <v>3.8E-3</v>
      </c>
      <c r="I57" s="3033">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较好</v>
      </c>
      <c r="C58" s="1884" t="s">
        <v>3561</v>
      </c>
      <c r="D58" s="999">
        <f t="shared" si="7"/>
        <v>2.3999999999999998E-3</v>
      </c>
      <c r="E58" s="701"/>
      <c r="F58" s="1672"/>
      <c r="G58" s="997">
        <v>2.3999999999999998E-3</v>
      </c>
      <c r="H58" s="1000">
        <f t="shared" si="8"/>
        <v>2.3999999999999998E-3</v>
      </c>
      <c r="I58" s="3034">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c r="D61" s="999">
        <f t="shared" ref="D61:D69" si="12">SUMIF($J$60:$N$60,C61,J61:N61)</f>
        <v>0</v>
      </c>
      <c r="E61" s="699">
        <f>ROUND(SUM(D61:D69),4)</f>
        <v>0</v>
      </c>
      <c r="F61" s="1672" t="str">
        <f>IF(E2="办公",SUMIF(L1:L12,G2,N1:N12),"——")</f>
        <v>——</v>
      </c>
      <c r="G61" s="997"/>
      <c r="H61" s="1000" t="str">
        <f t="shared" ref="H61:H69" si="13">IFERROR(ROUNDDOWN($F$61*I61/2,4),"——")</f>
        <v>——</v>
      </c>
      <c r="I61" s="3033">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c r="D62" s="999">
        <f t="shared" si="12"/>
        <v>0</v>
      </c>
      <c r="E62" s="700"/>
      <c r="F62" s="1672"/>
      <c r="G62" s="997"/>
      <c r="H62" s="1000" t="str">
        <f t="shared" si="13"/>
        <v>——</v>
      </c>
      <c r="I62" s="3033">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35" t="s">
        <v>3267</v>
      </c>
      <c r="B63" s="1259">
        <f>估价对象房地状况!C19</f>
        <v>0</v>
      </c>
      <c r="C63" s="1884"/>
      <c r="D63" s="999">
        <f t="shared" si="12"/>
        <v>0</v>
      </c>
      <c r="E63" s="700"/>
      <c r="F63" s="1672"/>
      <c r="G63" s="997"/>
      <c r="H63" s="1000" t="str">
        <f t="shared" si="13"/>
        <v>——</v>
      </c>
      <c r="I63" s="3033">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700"/>
      <c r="F64" s="1672"/>
      <c r="G64" s="997"/>
      <c r="H64" s="1000" t="str">
        <f t="shared" si="13"/>
        <v>——</v>
      </c>
      <c r="I64" s="3033">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2"/>
        <v>0</v>
      </c>
      <c r="E65" s="700"/>
      <c r="F65" s="1672"/>
      <c r="G65" s="997"/>
      <c r="H65" s="1000" t="str">
        <f t="shared" si="13"/>
        <v>——</v>
      </c>
      <c r="I65" s="3033">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700"/>
      <c r="F66" s="1672"/>
      <c r="G66" s="997"/>
      <c r="H66" s="1000" t="str">
        <f t="shared" si="13"/>
        <v>——</v>
      </c>
      <c r="I66" s="3033">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c r="D67" s="999">
        <f t="shared" si="12"/>
        <v>0</v>
      </c>
      <c r="E67" s="700"/>
      <c r="F67" s="1672"/>
      <c r="G67" s="997"/>
      <c r="H67" s="1000" t="str">
        <f t="shared" si="13"/>
        <v>——</v>
      </c>
      <c r="I67" s="3033">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c r="D68" s="999">
        <f t="shared" si="12"/>
        <v>0</v>
      </c>
      <c r="E68" s="700"/>
      <c r="F68" s="1672"/>
      <c r="G68" s="997"/>
      <c r="H68" s="1000" t="str">
        <f t="shared" si="13"/>
        <v>——</v>
      </c>
      <c r="I68" s="3033">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c r="D69" s="999">
        <f t="shared" si="12"/>
        <v>0</v>
      </c>
      <c r="E69" s="701"/>
      <c r="F69" s="1672"/>
      <c r="G69" s="997"/>
      <c r="H69" s="1000" t="str">
        <f t="shared" si="13"/>
        <v>——</v>
      </c>
      <c r="I69" s="3034">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3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3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35" t="s">
        <v>3267</v>
      </c>
      <c r="B74" s="1259">
        <f>估价对象房地状况!C19</f>
        <v>0</v>
      </c>
      <c r="C74" s="1884"/>
      <c r="D74" s="999">
        <f t="shared" si="17"/>
        <v>0</v>
      </c>
      <c r="E74" s="702"/>
      <c r="F74" s="1672"/>
      <c r="G74" s="997"/>
      <c r="H74" s="1000" t="str">
        <f t="shared" si="18"/>
        <v>——</v>
      </c>
      <c r="I74" s="303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3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3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3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33">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3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3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3">
        <v>0.3</v>
      </c>
      <c r="J84" s="998">
        <f t="shared" si="24"/>
        <v>0</v>
      </c>
      <c r="K84" s="998">
        <f t="shared" si="25"/>
        <v>0</v>
      </c>
      <c r="L84" s="998">
        <v>0</v>
      </c>
      <c r="M84" s="998">
        <f t="shared" si="26"/>
        <v>0</v>
      </c>
      <c r="N84" s="998">
        <f t="shared" si="26"/>
        <v>0</v>
      </c>
      <c r="Z84" s="1842"/>
      <c r="AA84" s="1892"/>
      <c r="AG84" s="1055"/>
      <c r="AK84" s="1892"/>
    </row>
    <row r="85" spans="1:37" ht="36">
      <c r="A85" s="3035" t="s">
        <v>3268</v>
      </c>
      <c r="B85" s="1259">
        <f>估价对象房地状况!G17</f>
        <v>0</v>
      </c>
      <c r="C85" s="1884"/>
      <c r="D85" s="999">
        <f t="shared" si="22"/>
        <v>0</v>
      </c>
      <c r="E85" s="702"/>
      <c r="F85" s="1672"/>
      <c r="G85" s="997"/>
      <c r="H85" s="1000" t="str">
        <f t="shared" si="23"/>
        <v>——</v>
      </c>
      <c r="I85" s="303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3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3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3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3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34">
        <v>0.05</v>
      </c>
      <c r="J90" s="998">
        <f t="shared" si="24"/>
        <v>0</v>
      </c>
      <c r="K90" s="998">
        <f t="shared" si="25"/>
        <v>0</v>
      </c>
      <c r="L90" s="998">
        <v>0</v>
      </c>
      <c r="M90" s="998">
        <f t="shared" si="26"/>
        <v>0</v>
      </c>
      <c r="N90" s="998">
        <f t="shared" si="26"/>
        <v>0</v>
      </c>
    </row>
    <row r="91" spans="1:37" ht="15">
      <c r="A91" s="3043" t="s">
        <v>2610</v>
      </c>
      <c r="B91" s="3044">
        <f>1+E93</f>
        <v>1</v>
      </c>
      <c r="C91" s="3037"/>
      <c r="D91" s="3038"/>
      <c r="E91" s="1672"/>
      <c r="F91" s="1672"/>
      <c r="G91" s="3039"/>
      <c r="H91" s="3040"/>
      <c r="I91" s="3041"/>
      <c r="J91" s="3042"/>
      <c r="K91" s="3042"/>
      <c r="L91" s="3042"/>
      <c r="M91" s="3042"/>
      <c r="N91" s="3042"/>
    </row>
    <row r="92" spans="1:37" ht="24.75">
      <c r="A92" s="3045" t="s">
        <v>3269</v>
      </c>
      <c r="B92" s="2304"/>
      <c r="C92" s="2304" t="s">
        <v>3278</v>
      </c>
      <c r="D92" s="2304" t="s">
        <v>3279</v>
      </c>
      <c r="E92" s="3017" t="s">
        <v>3280</v>
      </c>
      <c r="F92" s="3047" t="s">
        <v>3281</v>
      </c>
      <c r="G92" s="2304" t="s">
        <v>3282</v>
      </c>
      <c r="H92" s="3054" t="s">
        <v>3285</v>
      </c>
      <c r="I92" s="2304" t="s">
        <v>3286</v>
      </c>
      <c r="J92" s="2146" t="s">
        <v>3287</v>
      </c>
      <c r="K92" s="2146" t="s">
        <v>3288</v>
      </c>
      <c r="L92" s="2146" t="s">
        <v>3289</v>
      </c>
      <c r="M92" s="2146" t="s">
        <v>3290</v>
      </c>
      <c r="N92" s="2146" t="s">
        <v>3291</v>
      </c>
    </row>
    <row r="93" spans="1:37" ht="24">
      <c r="A93" s="3035" t="s">
        <v>3270</v>
      </c>
      <c r="B93" s="1218"/>
      <c r="C93" s="1884"/>
      <c r="D93" s="2304">
        <f>SUMIF($J$92:$N$92,C93,J93:N93)</f>
        <v>0</v>
      </c>
      <c r="E93" s="3048">
        <f>ROUND(SUM(D93:D101),4)</f>
        <v>0</v>
      </c>
      <c r="F93" s="1672" t="str">
        <f>IF(E2="公共服务",SUMIF(L1:L12,G2,N1:N12),"——")</f>
        <v>——</v>
      </c>
      <c r="G93" s="3039"/>
      <c r="H93" s="3084" t="str">
        <f>IFERROR(ROUNDDOWN($F$93*I93/2,4),"——")</f>
        <v>——</v>
      </c>
      <c r="I93" s="3033">
        <v>0.25</v>
      </c>
      <c r="J93" s="1909">
        <f t="shared" ref="J93:J101" si="27">K93+$G93</f>
        <v>0</v>
      </c>
      <c r="K93" s="1909">
        <f t="shared" ref="K93:K101" si="28">$L93+$G93</f>
        <v>0</v>
      </c>
      <c r="L93" s="1909">
        <v>0</v>
      </c>
      <c r="M93" s="1909">
        <f t="shared" ref="M93:N101" si="29">L93-$G93</f>
        <v>0</v>
      </c>
      <c r="N93" s="1909">
        <f t="shared" si="29"/>
        <v>0</v>
      </c>
    </row>
    <row r="94" spans="1:37" ht="14.25">
      <c r="A94" s="3045" t="s">
        <v>3271</v>
      </c>
      <c r="B94" s="3036" t="str">
        <f>估价对象房地状况!C18</f>
        <v>较好</v>
      </c>
      <c r="C94" s="1884"/>
      <c r="D94" s="2304">
        <f t="shared" ref="D94:D101" si="30">SUMIF($J$60:$N$60,C94,J94:N94)</f>
        <v>0</v>
      </c>
      <c r="E94" s="3049"/>
      <c r="F94" s="1672"/>
      <c r="G94" s="3039"/>
      <c r="H94" s="3084" t="str">
        <f>IFERROR(ROUNDDOWN($F$93*I94/2,4),"——")</f>
        <v>——</v>
      </c>
      <c r="I94" s="3033">
        <v>0.26</v>
      </c>
      <c r="J94" s="1909">
        <f t="shared" si="27"/>
        <v>0</v>
      </c>
      <c r="K94" s="1909">
        <f t="shared" si="28"/>
        <v>0</v>
      </c>
      <c r="L94" s="1909">
        <v>0</v>
      </c>
      <c r="M94" s="1909">
        <f t="shared" si="29"/>
        <v>0</v>
      </c>
      <c r="N94" s="1909">
        <f t="shared" si="29"/>
        <v>0</v>
      </c>
    </row>
    <row r="95" spans="1:37" ht="36">
      <c r="A95" s="3035" t="s">
        <v>3267</v>
      </c>
      <c r="B95" s="3036">
        <f>估价对象房地状况!C19</f>
        <v>0</v>
      </c>
      <c r="C95" s="1884"/>
      <c r="D95" s="2304">
        <f t="shared" si="30"/>
        <v>0</v>
      </c>
      <c r="E95" s="3049"/>
      <c r="F95" s="1672"/>
      <c r="G95" s="3039"/>
      <c r="H95" s="3084" t="str">
        <f t="shared" ref="H95:H101" si="31">IFERROR(ROUNDDOWN($F$93*I95/2,4),"——")</f>
        <v>——</v>
      </c>
      <c r="I95" s="3033">
        <v>0.11</v>
      </c>
      <c r="J95" s="1909">
        <f t="shared" si="27"/>
        <v>0</v>
      </c>
      <c r="K95" s="1909">
        <f t="shared" si="28"/>
        <v>0</v>
      </c>
      <c r="L95" s="1909">
        <v>0</v>
      </c>
      <c r="M95" s="1909">
        <f t="shared" si="29"/>
        <v>0</v>
      </c>
      <c r="N95" s="1909">
        <f t="shared" si="29"/>
        <v>0</v>
      </c>
    </row>
    <row r="96" spans="1:37" ht="36.75">
      <c r="A96" s="3045" t="s">
        <v>3272</v>
      </c>
      <c r="B96" s="3051" t="s">
        <v>3283</v>
      </c>
      <c r="C96" s="1884"/>
      <c r="D96" s="2304">
        <f t="shared" si="30"/>
        <v>0</v>
      </c>
      <c r="E96" s="3049"/>
      <c r="F96" s="1672"/>
      <c r="G96" s="3039"/>
      <c r="H96" s="3084" t="str">
        <f t="shared" si="31"/>
        <v>——</v>
      </c>
      <c r="I96" s="3033">
        <v>0.05</v>
      </c>
      <c r="J96" s="1909">
        <f t="shared" si="27"/>
        <v>0</v>
      </c>
      <c r="K96" s="1909">
        <f t="shared" si="28"/>
        <v>0</v>
      </c>
      <c r="L96" s="1909">
        <v>0</v>
      </c>
      <c r="M96" s="1909">
        <f t="shared" si="29"/>
        <v>0</v>
      </c>
      <c r="N96" s="1909">
        <f t="shared" si="29"/>
        <v>0</v>
      </c>
    </row>
    <row r="97" spans="1:14" ht="24">
      <c r="A97" s="3045" t="s">
        <v>3273</v>
      </c>
      <c r="B97" s="3036">
        <f>估价对象房地状况!C24</f>
        <v>0</v>
      </c>
      <c r="C97" s="1884"/>
      <c r="D97" s="2304">
        <f t="shared" si="30"/>
        <v>0</v>
      </c>
      <c r="E97" s="3049"/>
      <c r="F97" s="1672"/>
      <c r="G97" s="3039"/>
      <c r="H97" s="3084" t="str">
        <f t="shared" si="31"/>
        <v>——</v>
      </c>
      <c r="I97" s="3033">
        <v>0.05</v>
      </c>
      <c r="J97" s="1909">
        <f t="shared" si="27"/>
        <v>0</v>
      </c>
      <c r="K97" s="1909">
        <f t="shared" si="28"/>
        <v>0</v>
      </c>
      <c r="L97" s="1909">
        <v>0</v>
      </c>
      <c r="M97" s="1909">
        <f t="shared" si="29"/>
        <v>0</v>
      </c>
      <c r="N97" s="1909">
        <f t="shared" si="29"/>
        <v>0</v>
      </c>
    </row>
    <row r="98" spans="1:14" ht="24">
      <c r="A98" s="3045" t="s">
        <v>3274</v>
      </c>
      <c r="B98" s="3052" t="s">
        <v>3284</v>
      </c>
      <c r="C98" s="1884"/>
      <c r="D98" s="2304">
        <f t="shared" si="30"/>
        <v>0</v>
      </c>
      <c r="E98" s="3049"/>
      <c r="F98" s="1672"/>
      <c r="G98" s="3039"/>
      <c r="H98" s="3084" t="str">
        <f t="shared" si="31"/>
        <v>——</v>
      </c>
      <c r="I98" s="3033">
        <v>0.06</v>
      </c>
      <c r="J98" s="1909">
        <f t="shared" si="27"/>
        <v>0</v>
      </c>
      <c r="K98" s="1909">
        <f t="shared" si="28"/>
        <v>0</v>
      </c>
      <c r="L98" s="1909">
        <v>0</v>
      </c>
      <c r="M98" s="1909">
        <f t="shared" si="29"/>
        <v>0</v>
      </c>
      <c r="N98" s="1909">
        <f t="shared" si="29"/>
        <v>0</v>
      </c>
    </row>
    <row r="99" spans="1:14" ht="24">
      <c r="A99" s="3045" t="s">
        <v>3275</v>
      </c>
      <c r="B99" s="3036" t="str">
        <f>估价对象房地状况!C21</f>
        <v>较好</v>
      </c>
      <c r="C99" s="1884"/>
      <c r="D99" s="2304">
        <f t="shared" si="30"/>
        <v>0</v>
      </c>
      <c r="E99" s="3049"/>
      <c r="F99" s="1672"/>
      <c r="G99" s="3039"/>
      <c r="H99" s="3084" t="str">
        <f t="shared" si="31"/>
        <v>——</v>
      </c>
      <c r="I99" s="3033">
        <v>0.06</v>
      </c>
      <c r="J99" s="1909">
        <f t="shared" si="27"/>
        <v>0</v>
      </c>
      <c r="K99" s="1909">
        <f t="shared" si="28"/>
        <v>0</v>
      </c>
      <c r="L99" s="1909">
        <v>0</v>
      </c>
      <c r="M99" s="1909">
        <f t="shared" si="29"/>
        <v>0</v>
      </c>
      <c r="N99" s="1909">
        <f t="shared" si="29"/>
        <v>0</v>
      </c>
    </row>
    <row r="100" spans="1:14" ht="24">
      <c r="A100" s="3045" t="s">
        <v>3276</v>
      </c>
      <c r="B100" s="3036" t="str">
        <f>估价对象房地状况!C22</f>
        <v>七通</v>
      </c>
      <c r="C100" s="1884"/>
      <c r="D100" s="2304">
        <f t="shared" si="30"/>
        <v>0</v>
      </c>
      <c r="E100" s="3049"/>
      <c r="F100" s="1672"/>
      <c r="G100" s="3039"/>
      <c r="H100" s="3084" t="str">
        <f t="shared" si="31"/>
        <v>——</v>
      </c>
      <c r="I100" s="3033">
        <v>0.09</v>
      </c>
      <c r="J100" s="1909">
        <f t="shared" si="27"/>
        <v>0</v>
      </c>
      <c r="K100" s="1909">
        <f t="shared" si="28"/>
        <v>0</v>
      </c>
      <c r="L100" s="1909">
        <v>0</v>
      </c>
      <c r="M100" s="1909">
        <f t="shared" si="29"/>
        <v>0</v>
      </c>
      <c r="N100" s="1909">
        <f t="shared" si="29"/>
        <v>0</v>
      </c>
    </row>
    <row r="101" spans="1:14" ht="24.75" thickBot="1">
      <c r="A101" s="3046" t="s">
        <v>3277</v>
      </c>
      <c r="B101" s="3053" t="str">
        <f>估价对象房地状况!C20</f>
        <v>较好</v>
      </c>
      <c r="C101" s="1884"/>
      <c r="D101" s="2304">
        <f t="shared" si="30"/>
        <v>0</v>
      </c>
      <c r="E101" s="3050"/>
      <c r="F101" s="1672"/>
      <c r="G101" s="3039"/>
      <c r="H101" s="3084" t="str">
        <f t="shared" si="31"/>
        <v>——</v>
      </c>
      <c r="I101" s="3034">
        <v>7.0000000000000007E-2</v>
      </c>
      <c r="J101" s="1909">
        <f t="shared" si="27"/>
        <v>0</v>
      </c>
      <c r="K101" s="1909">
        <f t="shared" si="28"/>
        <v>0</v>
      </c>
      <c r="L101" s="1909">
        <v>0</v>
      </c>
      <c r="M101" s="1909">
        <f t="shared" si="29"/>
        <v>0</v>
      </c>
      <c r="N101" s="1909">
        <f t="shared" si="29"/>
        <v>0</v>
      </c>
    </row>
    <row r="103" spans="1:14">
      <c r="A103" s="3454" t="s">
        <v>3292</v>
      </c>
      <c r="B103" s="3454"/>
      <c r="C103" s="3454"/>
      <c r="D103" s="3454"/>
      <c r="E103" s="3454"/>
      <c r="F103" s="3454"/>
      <c r="G103" s="3454"/>
      <c r="H103" s="3454"/>
      <c r="I103" s="3454"/>
      <c r="J103" s="3454"/>
      <c r="K103" s="1664"/>
      <c r="L103" s="1664"/>
      <c r="M103" s="1664"/>
      <c r="N103" s="1664"/>
    </row>
    <row r="104" spans="1:14">
      <c r="A104" s="3455" t="s">
        <v>3293</v>
      </c>
      <c r="B104" s="3455" t="s">
        <v>3294</v>
      </c>
      <c r="C104" s="3055" t="s">
        <v>3295</v>
      </c>
      <c r="D104" s="3056"/>
      <c r="E104" s="3056"/>
      <c r="F104" s="3056"/>
      <c r="G104" s="3056"/>
      <c r="H104" s="3056"/>
      <c r="I104" s="3056"/>
      <c r="J104" s="3057"/>
      <c r="K104" s="3058"/>
      <c r="L104" s="3058"/>
      <c r="M104" s="3058"/>
      <c r="N104" s="3058"/>
    </row>
    <row r="105" spans="1:14">
      <c r="A105" s="3455"/>
      <c r="B105" s="3455"/>
      <c r="C105" s="3059" t="s">
        <v>3296</v>
      </c>
      <c r="D105" s="3059" t="s">
        <v>3297</v>
      </c>
      <c r="E105" s="3059" t="s">
        <v>3298</v>
      </c>
      <c r="F105" s="3059" t="s">
        <v>3299</v>
      </c>
      <c r="G105" s="3059" t="s">
        <v>3300</v>
      </c>
      <c r="H105" s="3059" t="s">
        <v>3301</v>
      </c>
      <c r="I105" s="3059" t="s">
        <v>3302</v>
      </c>
      <c r="J105" s="3059" t="s">
        <v>3303</v>
      </c>
      <c r="K105" s="3059" t="s">
        <v>3304</v>
      </c>
      <c r="L105" s="3059" t="s">
        <v>3305</v>
      </c>
      <c r="M105" s="3059" t="s">
        <v>3306</v>
      </c>
      <c r="N105" s="3059" t="s">
        <v>3307</v>
      </c>
    </row>
    <row r="106" spans="1:14">
      <c r="A106" s="3441" t="s">
        <v>3308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42"/>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42"/>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42"/>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42"/>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42"/>
      <c r="B111" s="3059" t="s">
        <v>3266</v>
      </c>
      <c r="C111" s="3060">
        <f>$I$3</f>
        <v>1</v>
      </c>
      <c r="D111" s="3060">
        <f t="shared" ref="D111:M111" si="32">$I$3</f>
        <v>1</v>
      </c>
      <c r="E111" s="3060">
        <f t="shared" si="32"/>
        <v>1</v>
      </c>
      <c r="F111" s="3060">
        <f t="shared" si="32"/>
        <v>1</v>
      </c>
      <c r="G111" s="3060">
        <f t="shared" si="32"/>
        <v>1</v>
      </c>
      <c r="H111" s="3060">
        <f t="shared" si="32"/>
        <v>1</v>
      </c>
      <c r="I111" s="3060">
        <f t="shared" si="32"/>
        <v>1</v>
      </c>
      <c r="J111" s="3060">
        <f t="shared" si="32"/>
        <v>1</v>
      </c>
      <c r="K111" s="3060">
        <f t="shared" si="32"/>
        <v>1</v>
      </c>
      <c r="L111" s="3060">
        <f t="shared" si="32"/>
        <v>1</v>
      </c>
      <c r="M111" s="3060">
        <f t="shared" si="32"/>
        <v>1</v>
      </c>
      <c r="N111" s="3060">
        <f>$I$3</f>
        <v>1</v>
      </c>
    </row>
    <row r="112" spans="1:14">
      <c r="A112" s="3443"/>
      <c r="B112" s="3059">
        <v>6</v>
      </c>
      <c r="C112" s="3054">
        <f>(-0.5556*(C111^2)-0.2719*C111+8944)*(10^(-4))</f>
        <v>0.89431725000000006</v>
      </c>
      <c r="D112" s="3054">
        <f>(-0.5556*(D111^2)-0.2719*D111+8944)*(10^(-4))</f>
        <v>0.89431725000000006</v>
      </c>
      <c r="E112" s="3054">
        <f>(-0.7912*(E111^2)-11.3794*E111+8482)*(10^(-4))</f>
        <v>0.84698294000000007</v>
      </c>
      <c r="F112" s="3054">
        <f t="shared" ref="F112:I112" si="33">(-0.7912*(F111^2)-11.3794*F111+8482)*(10^(-4))</f>
        <v>0.84698294000000007</v>
      </c>
      <c r="G112" s="3054">
        <f t="shared" si="33"/>
        <v>0.84698294000000007</v>
      </c>
      <c r="H112" s="3054">
        <f t="shared" si="33"/>
        <v>0.84698294000000007</v>
      </c>
      <c r="I112" s="3054">
        <f t="shared" si="33"/>
        <v>0.84698294000000007</v>
      </c>
      <c r="J112" s="3054">
        <f>(-0.989*(J111^2)-63.78*J111+7771)*(10^(-4))</f>
        <v>0.77062310000000001</v>
      </c>
      <c r="K112" s="3054">
        <f t="shared" ref="K112:N112" si="34">(-0.989*(K111^2)-63.78*K111+7771)*(10^(-4))</f>
        <v>0.77062310000000001</v>
      </c>
      <c r="L112" s="3054">
        <f t="shared" si="34"/>
        <v>0.77062310000000001</v>
      </c>
      <c r="M112" s="3054">
        <f t="shared" si="34"/>
        <v>0.77062310000000001</v>
      </c>
      <c r="N112" s="3054">
        <f t="shared" si="34"/>
        <v>0.77062310000000001</v>
      </c>
    </row>
    <row r="113" spans="1:14">
      <c r="A113" s="3444" t="s">
        <v>3309</v>
      </c>
      <c r="B113" s="3444"/>
      <c r="C113" s="3444"/>
      <c r="D113" s="3444"/>
      <c r="E113" s="3444"/>
      <c r="F113" s="3444"/>
      <c r="G113" s="3444"/>
      <c r="H113" s="3444"/>
      <c r="I113" s="3444"/>
      <c r="J113" s="3444"/>
      <c r="K113" s="3061"/>
      <c r="L113" s="3061"/>
      <c r="M113" s="3061"/>
      <c r="N113" s="3061"/>
    </row>
    <row r="114" spans="1:14">
      <c r="A114" s="3062"/>
      <c r="B114" s="3062"/>
      <c r="C114" s="3062"/>
      <c r="D114" s="3062"/>
      <c r="E114" s="3062"/>
      <c r="F114" s="3062"/>
      <c r="G114" s="3062"/>
      <c r="H114" s="3062"/>
      <c r="I114" s="3062"/>
      <c r="J114" s="3062"/>
      <c r="K114" s="1961"/>
      <c r="L114" s="3062"/>
      <c r="M114" s="3062"/>
      <c r="N114" s="3062"/>
    </row>
    <row r="115" spans="1:14" ht="13.5" thickBot="1">
      <c r="A115" s="3062"/>
      <c r="B115" s="3062"/>
      <c r="C115" s="3062"/>
      <c r="D115" s="3062"/>
      <c r="E115" s="3062"/>
      <c r="F115" s="3062"/>
      <c r="G115" s="3062"/>
      <c r="H115" s="3062"/>
      <c r="I115" s="3062"/>
      <c r="J115" s="3062"/>
      <c r="K115" s="1961"/>
      <c r="L115" s="3062"/>
      <c r="M115" s="3062"/>
      <c r="N115" s="3062"/>
    </row>
    <row r="116" spans="1:14" ht="25.5" thickBot="1">
      <c r="A116" s="3063" t="s">
        <v>3310</v>
      </c>
      <c r="B116" s="3079">
        <f>G3</f>
        <v>5.94</v>
      </c>
      <c r="C116" s="3064" t="s">
        <v>3311</v>
      </c>
      <c r="D116" s="3065">
        <f>SUMPRODUCT((A118:A122=F116)*(B117:M117=H116)*B118:M122)</f>
        <v>0.93149999999999999</v>
      </c>
      <c r="E116" s="162" t="s">
        <v>3312</v>
      </c>
      <c r="F116" s="3066" t="str">
        <f>E2</f>
        <v>商业</v>
      </c>
      <c r="G116" s="162" t="s">
        <v>3313</v>
      </c>
      <c r="H116" s="3066" t="str">
        <f>G2</f>
        <v>二级</v>
      </c>
      <c r="I116" s="162"/>
      <c r="J116" s="3067"/>
      <c r="K116" s="3067"/>
      <c r="L116" s="3067"/>
      <c r="M116" s="3067"/>
      <c r="N116" s="3062"/>
    </row>
    <row r="117" spans="1:14">
      <c r="A117" s="3068"/>
      <c r="B117" s="3069" t="s">
        <v>3314</v>
      </c>
      <c r="C117" s="3069" t="s">
        <v>3315</v>
      </c>
      <c r="D117" s="3069" t="s">
        <v>3316</v>
      </c>
      <c r="E117" s="3070" t="s">
        <v>3317</v>
      </c>
      <c r="F117" s="3070" t="s">
        <v>3318</v>
      </c>
      <c r="G117" s="3070" t="s">
        <v>3319</v>
      </c>
      <c r="H117" s="3071" t="s">
        <v>3320</v>
      </c>
      <c r="I117" s="3071" t="s">
        <v>3321</v>
      </c>
      <c r="J117" s="3072" t="s">
        <v>3322</v>
      </c>
      <c r="K117" s="3072" t="s">
        <v>3323</v>
      </c>
      <c r="L117" s="3072" t="s">
        <v>3324</v>
      </c>
      <c r="M117" s="3073" t="s">
        <v>3325</v>
      </c>
      <c r="N117" s="3062"/>
    </row>
    <row r="118" spans="1:14">
      <c r="A118" s="3022" t="s">
        <v>3326</v>
      </c>
      <c r="B118" s="3054">
        <f>ROUND(0.9968-0.011*B116,4)</f>
        <v>0.93149999999999999</v>
      </c>
      <c r="C118" s="3054">
        <f>B118</f>
        <v>0.93149999999999999</v>
      </c>
      <c r="D118" s="3054">
        <f>ROUND(0.949-0.014*B116,4)</f>
        <v>0.86580000000000001</v>
      </c>
      <c r="E118" s="3054">
        <f>D118</f>
        <v>0.86580000000000001</v>
      </c>
      <c r="F118" s="3054">
        <f>E118</f>
        <v>0.86580000000000001</v>
      </c>
      <c r="G118" s="3054">
        <f>F118</f>
        <v>0.86580000000000001</v>
      </c>
      <c r="H118" s="3054">
        <f>G118</f>
        <v>0.86580000000000001</v>
      </c>
      <c r="I118" s="3054">
        <f>ROUND(0.8486-0.018*B116,4)</f>
        <v>0.74170000000000003</v>
      </c>
      <c r="J118" s="3054">
        <f t="shared" ref="J118:M122" si="35">I118</f>
        <v>0.74170000000000003</v>
      </c>
      <c r="K118" s="3054">
        <f t="shared" si="35"/>
        <v>0.74170000000000003</v>
      </c>
      <c r="L118" s="3054">
        <f t="shared" si="35"/>
        <v>0.74170000000000003</v>
      </c>
      <c r="M118" s="3074">
        <f t="shared" si="35"/>
        <v>0.74170000000000003</v>
      </c>
      <c r="N118" s="3062"/>
    </row>
    <row r="119" spans="1:14">
      <c r="A119" s="3022" t="s">
        <v>3327</v>
      </c>
      <c r="B119" s="3054">
        <f>ROUND(0.993-0.0112*B116,4)</f>
        <v>0.92649999999999999</v>
      </c>
      <c r="C119" s="3054">
        <f>B119</f>
        <v>0.92649999999999999</v>
      </c>
      <c r="D119" s="3054">
        <f>ROUND(0.9415-0.0142*B116,4)</f>
        <v>0.85719999999999996</v>
      </c>
      <c r="E119" s="3054">
        <f t="shared" ref="E119:H120" si="36">D119</f>
        <v>0.85719999999999996</v>
      </c>
      <c r="F119" s="3054">
        <f t="shared" si="36"/>
        <v>0.85719999999999996</v>
      </c>
      <c r="G119" s="3054">
        <f t="shared" si="36"/>
        <v>0.85719999999999996</v>
      </c>
      <c r="H119" s="3054">
        <f t="shared" si="36"/>
        <v>0.85719999999999996</v>
      </c>
      <c r="I119" s="3054">
        <f>ROUND(0.838-0.0182*B116,4)</f>
        <v>0.72989999999999999</v>
      </c>
      <c r="J119" s="3054">
        <f t="shared" si="35"/>
        <v>0.72989999999999999</v>
      </c>
      <c r="K119" s="3054">
        <f t="shared" si="35"/>
        <v>0.72989999999999999</v>
      </c>
      <c r="L119" s="3054">
        <f t="shared" si="35"/>
        <v>0.72989999999999999</v>
      </c>
      <c r="M119" s="3074">
        <f t="shared" si="35"/>
        <v>0.72989999999999999</v>
      </c>
      <c r="N119" s="3062"/>
    </row>
    <row r="120" spans="1:14">
      <c r="A120" s="3022" t="s">
        <v>3328</v>
      </c>
      <c r="B120" s="3054">
        <f>ROUND(0.9448-0.0115*B116,4)</f>
        <v>0.87649999999999995</v>
      </c>
      <c r="C120" s="3054">
        <f>B120</f>
        <v>0.87649999999999995</v>
      </c>
      <c r="D120" s="3054">
        <f>ROUND(0.937-0.0145*B116,4)</f>
        <v>0.85089999999999999</v>
      </c>
      <c r="E120" s="3054">
        <f t="shared" si="36"/>
        <v>0.85089999999999999</v>
      </c>
      <c r="F120" s="3054">
        <f t="shared" si="36"/>
        <v>0.85089999999999999</v>
      </c>
      <c r="G120" s="3054">
        <f t="shared" si="36"/>
        <v>0.85089999999999999</v>
      </c>
      <c r="H120" s="3054">
        <f t="shared" si="36"/>
        <v>0.85089999999999999</v>
      </c>
      <c r="I120" s="3054">
        <f>ROUND(0.7965-0.0185*B116,4)</f>
        <v>0.68659999999999999</v>
      </c>
      <c r="J120" s="3054">
        <f t="shared" si="35"/>
        <v>0.68659999999999999</v>
      </c>
      <c r="K120" s="3054">
        <f t="shared" si="35"/>
        <v>0.68659999999999999</v>
      </c>
      <c r="L120" s="3054">
        <f t="shared" si="35"/>
        <v>0.68659999999999999</v>
      </c>
      <c r="M120" s="3074">
        <f t="shared" si="35"/>
        <v>0.68659999999999999</v>
      </c>
      <c r="N120" s="3062"/>
    </row>
    <row r="121" spans="1:14" ht="13.5" thickBot="1">
      <c r="A121" s="3075" t="s">
        <v>3329</v>
      </c>
      <c r="B121" s="3076">
        <f>ROUND(0.7836-0.012*B116,4)</f>
        <v>0.71230000000000004</v>
      </c>
      <c r="C121" s="3076">
        <f>B121</f>
        <v>0.71230000000000004</v>
      </c>
      <c r="D121" s="3076">
        <f>ROUND(0.753-0.015*B116,4)</f>
        <v>0.66390000000000005</v>
      </c>
      <c r="E121" s="3076">
        <f>D121</f>
        <v>0.66390000000000005</v>
      </c>
      <c r="F121" s="3076">
        <f>E121</f>
        <v>0.66390000000000005</v>
      </c>
      <c r="G121" s="3076">
        <f>ROUND(0.6612-0.018*B116,4)</f>
        <v>0.55430000000000001</v>
      </c>
      <c r="H121" s="3076">
        <f>G121</f>
        <v>0.55430000000000001</v>
      </c>
      <c r="I121" s="3076">
        <f>ROUND(0.5905-0.019*B116,4)</f>
        <v>0.47760000000000002</v>
      </c>
      <c r="J121" s="3076">
        <f t="shared" si="35"/>
        <v>0.47760000000000002</v>
      </c>
      <c r="K121" s="3076">
        <f t="shared" si="35"/>
        <v>0.47760000000000002</v>
      </c>
      <c r="L121" s="3076">
        <f t="shared" si="35"/>
        <v>0.47760000000000002</v>
      </c>
      <c r="M121" s="3077">
        <f t="shared" si="35"/>
        <v>0.47760000000000002</v>
      </c>
      <c r="N121" s="3062"/>
    </row>
    <row r="122" spans="1:14">
      <c r="A122" s="3078" t="s">
        <v>2610</v>
      </c>
      <c r="B122" s="3054">
        <f>ROUND(0.9404-0.0106*B116,4)</f>
        <v>0.87739999999999996</v>
      </c>
      <c r="C122" s="3054">
        <f>B122</f>
        <v>0.87739999999999996</v>
      </c>
      <c r="D122" s="3054">
        <f>ROUND(0.8955-0.0135*B116,4)</f>
        <v>0.81530000000000002</v>
      </c>
      <c r="E122" s="3054">
        <f t="shared" ref="E122:H122" si="37">D122</f>
        <v>0.81530000000000002</v>
      </c>
      <c r="F122" s="3054">
        <f t="shared" si="37"/>
        <v>0.81530000000000002</v>
      </c>
      <c r="G122" s="3054">
        <f t="shared" si="37"/>
        <v>0.81530000000000002</v>
      </c>
      <c r="H122" s="3054">
        <f t="shared" si="37"/>
        <v>0.81530000000000002</v>
      </c>
      <c r="I122" s="3054">
        <f>ROUND(0.7632-0.0166*B116,4)</f>
        <v>0.66459999999999997</v>
      </c>
      <c r="J122" s="3054">
        <f t="shared" si="35"/>
        <v>0.66459999999999997</v>
      </c>
      <c r="K122" s="3054">
        <f t="shared" si="35"/>
        <v>0.66459999999999997</v>
      </c>
      <c r="L122" s="3054">
        <f t="shared" si="35"/>
        <v>0.66459999999999997</v>
      </c>
      <c r="M122" s="3074">
        <f t="shared" si="35"/>
        <v>0.66459999999999997</v>
      </c>
      <c r="N122" s="30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3" zoomScaleNormal="80" zoomScaleSheetLayoutView="100" workbookViewId="0">
      <selection activeCell="F65" sqref="F65"/>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49901.930000000008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96371</v>
      </c>
      <c r="C2" s="1843" t="s">
        <v>1935</v>
      </c>
      <c r="D2" s="162" t="s">
        <v>1936</v>
      </c>
      <c r="E2" s="3085"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29510</v>
      </c>
      <c r="N2" s="810">
        <f>SUMPRODUCT((因素修正幅度!B10:B29=I2)*(因素修正幅度!C3:G3=E2)*(因素修正幅度!C10:G29))</f>
        <v>9.7000000000000003E-2</v>
      </c>
      <c r="O2" s="1053"/>
      <c r="P2" s="1053"/>
      <c r="Q2" s="1053"/>
      <c r="R2" s="1126">
        <v>1</v>
      </c>
      <c r="S2" s="3028">
        <f>ROUND(SUMPRODUCT((B106:B110=R2)*(C105:N105=G2)*(C106:N110)),4)</f>
        <v>1.5206</v>
      </c>
      <c r="T2" s="3028">
        <f t="shared" ref="T2:T16" si="0">ROUND($C$5*$C$22*$C$23*$C$24*S2*$C$28,0)</f>
        <v>40530</v>
      </c>
      <c r="U2" s="1127">
        <f>面积表!C4+面积表!C12</f>
        <v>5161.3899999999994</v>
      </c>
      <c r="V2" s="3028">
        <f>ROUND(T2*U2/10000,0)</f>
        <v>20919</v>
      </c>
      <c r="W2" s="1130"/>
      <c r="X2" s="1130"/>
      <c r="Y2" s="1130"/>
      <c r="Z2" s="1130"/>
      <c r="AA2" s="1130"/>
      <c r="AB2" s="1130"/>
      <c r="AC2" s="1131"/>
      <c r="AD2" s="1132"/>
      <c r="AE2" s="1132"/>
      <c r="AF2" s="1132"/>
      <c r="AG2" s="1132"/>
      <c r="AH2" s="1132"/>
      <c r="AI2" s="1132"/>
      <c r="AJ2" s="1133"/>
    </row>
    <row r="3" spans="1:36" ht="15.75">
      <c r="A3" s="195" t="s">
        <v>1940</v>
      </c>
      <c r="B3" s="196">
        <f>ROUND(B2*10000/D1,0)</f>
        <v>19312</v>
      </c>
      <c r="C3" s="1843" t="s">
        <v>1941</v>
      </c>
      <c r="D3" s="162" t="s">
        <v>1942</v>
      </c>
      <c r="E3" s="3083" t="s">
        <v>3543</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28">
        <f>ROUND(SUMPRODUCT((B106:B110=R3)*(C105:N105=G2)*(C106:N110)),4)</f>
        <v>1.2072000000000001</v>
      </c>
      <c r="T3" s="3028">
        <f t="shared" si="0"/>
        <v>32176</v>
      </c>
      <c r="U3" s="1127">
        <f>面积表!C5+面积表!C13</f>
        <v>4919.5599999999995</v>
      </c>
      <c r="V3" s="3028">
        <f t="shared" ref="V3:V16" si="1">ROUND(T3*U3/10000,0)</f>
        <v>15829</v>
      </c>
      <c r="W3" s="1130"/>
      <c r="X3" s="1130"/>
      <c r="Y3" s="1130"/>
      <c r="Z3" s="1130"/>
      <c r="AA3" s="1130"/>
      <c r="AB3" s="1130"/>
      <c r="AC3" s="1131"/>
      <c r="AD3" s="1132"/>
      <c r="AE3" s="1132"/>
      <c r="AF3" s="1132"/>
      <c r="AG3" s="1132"/>
      <c r="AH3" s="1132"/>
      <c r="AI3" s="1132"/>
      <c r="AJ3" s="1133"/>
    </row>
    <row r="4" spans="1:36" ht="15.75">
      <c r="A4" s="3448"/>
      <c r="B4" s="3449"/>
      <c r="C4" s="3449"/>
      <c r="D4" s="3450"/>
      <c r="E4" s="3450"/>
      <c r="F4" s="3450"/>
      <c r="G4" s="3450"/>
      <c r="H4" s="3450"/>
      <c r="I4" s="3450"/>
      <c r="J4" s="345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28">
        <f>ROUND(SUMPRODUCT((B106:B110=R4)*(C105:N105=G2)*(C106:N110)),4)</f>
        <v>1.0430999999999999</v>
      </c>
      <c r="T4" s="3028">
        <f t="shared" si="0"/>
        <v>27803</v>
      </c>
      <c r="U4" s="1127">
        <f>面积表!C6+面积表!C14</f>
        <v>5837.57</v>
      </c>
      <c r="V4" s="3028">
        <f t="shared" si="1"/>
        <v>16230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29493</v>
      </c>
      <c r="D5" s="1249">
        <f>ROUND(C6*C17+C20,0)</f>
        <v>29493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28">
        <f>ROUND(SUMPRODUCT((B106:B110=R5)*(C105:N105=G2)*(C106:N110)),4)</f>
        <v>0.94389999999999996</v>
      </c>
      <c r="T5" s="3028">
        <f t="shared" si="0"/>
        <v>25159</v>
      </c>
      <c r="U5" s="1127">
        <f>面积表!C7+面积表!C15</f>
        <v>5837.57</v>
      </c>
      <c r="V5" s="3028">
        <f t="shared" si="1"/>
        <v>14687</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29510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28">
        <f>ROUND(SUMPRODUCT((B106:B110=R6)*(C105:N105=G2)*(C106:N110)),4)</f>
        <v>0.89959999999999996</v>
      </c>
      <c r="T6" s="3028">
        <f t="shared" si="0"/>
        <v>23978</v>
      </c>
      <c r="U6" s="1127">
        <f>面积表!C8+面积表!C16</f>
        <v>5837.57</v>
      </c>
      <c r="V6" s="3028">
        <f t="shared" si="1"/>
        <v>13997</v>
      </c>
      <c r="W6" s="1130"/>
      <c r="X6" s="1130"/>
      <c r="Y6" s="1130"/>
      <c r="Z6" s="1130"/>
      <c r="AA6" s="1130"/>
      <c r="AB6" s="1130"/>
      <c r="AC6" s="1852"/>
      <c r="AD6" s="1853"/>
      <c r="AE6" s="1853"/>
      <c r="AF6" s="1853"/>
      <c r="AG6" s="1853"/>
      <c r="AH6" s="1853"/>
      <c r="AI6" s="1853"/>
      <c r="AJ6" s="1854"/>
    </row>
    <row r="7" spans="1:36" ht="24.75" thickBot="1">
      <c r="A7" s="2977"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082"/>
      <c r="T7" s="3028">
        <f t="shared" si="0"/>
        <v>0</v>
      </c>
      <c r="U7" s="1127"/>
      <c r="V7" s="3028">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2974"/>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28">
        <f t="shared" si="0"/>
        <v>0</v>
      </c>
      <c r="U8" s="1127"/>
      <c r="V8" s="3028">
        <f t="shared" si="1"/>
        <v>0</v>
      </c>
      <c r="W8" s="3445" t="s">
        <v>1960</v>
      </c>
      <c r="X8" s="344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2974"/>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28">
        <f t="shared" si="0"/>
        <v>0</v>
      </c>
      <c r="U9" s="1127"/>
      <c r="V9" s="3028">
        <f t="shared" si="1"/>
        <v>0</v>
      </c>
      <c r="W9" s="3447"/>
      <c r="X9" s="3029" t="s">
        <v>3266</v>
      </c>
      <c r="Y9" s="3030">
        <v>6</v>
      </c>
      <c r="Z9" s="3031">
        <f>$Y$9</f>
        <v>6</v>
      </c>
      <c r="AA9" s="3031">
        <f t="shared" ref="AA9:AJ9" si="2">$Y$9</f>
        <v>6</v>
      </c>
      <c r="AB9" s="3031">
        <f t="shared" si="2"/>
        <v>6</v>
      </c>
      <c r="AC9" s="3031">
        <f t="shared" si="2"/>
        <v>6</v>
      </c>
      <c r="AD9" s="3031">
        <f t="shared" si="2"/>
        <v>6</v>
      </c>
      <c r="AE9" s="3031">
        <f t="shared" si="2"/>
        <v>6</v>
      </c>
      <c r="AF9" s="3031">
        <f t="shared" si="2"/>
        <v>6</v>
      </c>
      <c r="AG9" s="3031">
        <f t="shared" si="2"/>
        <v>6</v>
      </c>
      <c r="AH9" s="3031">
        <f t="shared" si="2"/>
        <v>6</v>
      </c>
      <c r="AI9" s="3031">
        <f t="shared" si="2"/>
        <v>6</v>
      </c>
      <c r="AJ9" s="3031">
        <f t="shared" si="2"/>
        <v>6</v>
      </c>
    </row>
    <row r="10" spans="1:36" ht="15">
      <c r="A10" s="2974"/>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28">
        <f t="shared" si="0"/>
        <v>0</v>
      </c>
      <c r="U10" s="1127"/>
      <c r="V10" s="3028">
        <f t="shared" si="1"/>
        <v>0</v>
      </c>
      <c r="W10" s="3447"/>
      <c r="X10" s="3029">
        <v>6</v>
      </c>
      <c r="Y10" s="3032">
        <f>ROUND((-0.5556*(Y9^2)-0.2719*Y9+8944)*(10^(-4)),4)</f>
        <v>0.89219999999999999</v>
      </c>
      <c r="Z10" s="3032">
        <f>ROUND((-0.5556*(Z9^2)-0.2719*Z9+8944)*(10^(-4)),4)</f>
        <v>0.89219999999999999</v>
      </c>
      <c r="AA10" s="3032">
        <f>ROUND((-0.7912*(AA9^2)-11.3794*AA9+8482)*(10^(-4)),4)</f>
        <v>0.83850000000000002</v>
      </c>
      <c r="AB10" s="3032">
        <f>ROUND((-0.7912*(AB9^2)-11.3794*AB9+8482)*(10^(-4)),4)</f>
        <v>0.83850000000000002</v>
      </c>
      <c r="AC10" s="3032">
        <f>ROUND((-0.7912*(AC9^2)-11.3794*AC9+8482)*(10^(-4)),4)</f>
        <v>0.83850000000000002</v>
      </c>
      <c r="AD10" s="3032">
        <f>ROUND((-0.7912*(AD9^2)-11.3794*AD9+8482)*(10^(-4)),4)</f>
        <v>0.83850000000000002</v>
      </c>
      <c r="AE10" s="3032">
        <f>ROUND((-0.7912*(AE9^2)-11.3794*AE9+8482)*(10^(-4)),4)</f>
        <v>0.83850000000000002</v>
      </c>
      <c r="AF10" s="3032">
        <f>ROUND((-0.989*(AF9^2)-63.78*AF9+7771)*(10^(-4)),4)</f>
        <v>0.73529999999999995</v>
      </c>
      <c r="AG10" s="3032">
        <f>ROUND((-0.989*(AG9^2)-63.78*AG9+7771)*(10^(-4)),4)</f>
        <v>0.73529999999999995</v>
      </c>
      <c r="AH10" s="3032">
        <f>ROUND((-0.989*(AH9^2)-63.78*AH9+7771)*(10^(-4)),4)</f>
        <v>0.73529999999999995</v>
      </c>
      <c r="AI10" s="3032">
        <f>ROUND((-0.989*(AI9^2)-63.78*AI9+7771)*(10^(-4)),4)</f>
        <v>0.73529999999999995</v>
      </c>
      <c r="AJ10" s="3032">
        <f>ROUND((-0.989*(AJ9^2)-63.78*AJ9+7771)*(10^(-4)),4)</f>
        <v>0.73529999999999995</v>
      </c>
    </row>
    <row r="11" spans="1:36" ht="15.75" thickBot="1">
      <c r="A11" s="297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28">
        <f t="shared" si="0"/>
        <v>0</v>
      </c>
      <c r="U11" s="1127"/>
      <c r="V11" s="3028">
        <f t="shared" si="1"/>
        <v>0</v>
      </c>
      <c r="W11" s="1130"/>
      <c r="X11" s="1130"/>
      <c r="Y11" s="1130"/>
      <c r="Z11" s="1130"/>
      <c r="AA11" s="1130"/>
      <c r="AB11" s="1130"/>
      <c r="AC11" s="1131"/>
      <c r="AD11" s="2547"/>
      <c r="AE11" s="2547"/>
      <c r="AF11" s="2547"/>
      <c r="AG11" s="2547"/>
      <c r="AH11" s="2547"/>
      <c r="AI11" s="2547"/>
      <c r="AJ11" s="2548"/>
    </row>
    <row r="12" spans="1:36" ht="25.5" thickBot="1">
      <c r="A12" s="2977" t="s">
        <v>3236</v>
      </c>
      <c r="B12" s="2978" t="s">
        <v>3237</v>
      </c>
      <c r="C12" s="2979">
        <v>1</v>
      </c>
      <c r="D12" s="2980" t="s">
        <v>3238</v>
      </c>
      <c r="E12" s="2981" t="s">
        <v>3239</v>
      </c>
      <c r="F12" s="2982"/>
      <c r="G12" s="2983"/>
      <c r="H12" s="2983"/>
      <c r="I12" s="2983"/>
      <c r="J12" s="298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28">
        <f t="shared" si="0"/>
        <v>0</v>
      </c>
      <c r="U12" s="1127"/>
      <c r="V12" s="3028">
        <f t="shared" si="1"/>
        <v>0</v>
      </c>
      <c r="W12" s="1130"/>
      <c r="X12" s="1130"/>
      <c r="Y12" s="1130"/>
      <c r="Z12" s="1130"/>
      <c r="AA12" s="1130"/>
      <c r="AB12" s="1130"/>
      <c r="AC12" s="1131"/>
      <c r="AD12" s="2547"/>
      <c r="AE12" s="2547"/>
      <c r="AF12" s="2547"/>
      <c r="AG12" s="2547"/>
      <c r="AH12" s="2547"/>
      <c r="AI12" s="2547"/>
      <c r="AJ12" s="2548"/>
    </row>
    <row r="13" spans="1:36" ht="15.75" thickBot="1">
      <c r="A13" s="2977" t="s">
        <v>3240</v>
      </c>
      <c r="B13" s="1875" t="s">
        <v>1982</v>
      </c>
      <c r="C13" s="708">
        <f>ROUND(C16*D16*E16*F16*G16*H16*I16*J16,4)</f>
        <v>0</v>
      </c>
      <c r="D13" s="1876" t="s">
        <v>1983</v>
      </c>
      <c r="E13" s="1877"/>
      <c r="F13" s="1877"/>
      <c r="G13" s="1878"/>
      <c r="H13" s="1878"/>
      <c r="I13" s="1878"/>
      <c r="J13" s="1879"/>
      <c r="K13" s="1053"/>
      <c r="L13" s="3"/>
      <c r="M13" s="4"/>
      <c r="N13" s="2975"/>
      <c r="O13" s="1053"/>
      <c r="P13" s="1053"/>
      <c r="Q13" s="1053"/>
      <c r="R13" s="1126">
        <v>12</v>
      </c>
      <c r="S13" s="1127"/>
      <c r="T13" s="3028">
        <f t="shared" si="0"/>
        <v>0</v>
      </c>
      <c r="U13" s="1127"/>
      <c r="V13" s="3028">
        <f t="shared" si="1"/>
        <v>0</v>
      </c>
      <c r="W13" s="1130"/>
      <c r="X13" s="1130"/>
      <c r="Y13" s="1130"/>
      <c r="Z13" s="1130"/>
      <c r="AA13" s="1130"/>
      <c r="AB13" s="1130"/>
      <c r="AC13" s="1131"/>
      <c r="AD13" s="2547"/>
      <c r="AE13" s="2547"/>
      <c r="AF13" s="2547"/>
      <c r="AG13" s="2547"/>
      <c r="AH13" s="2547"/>
      <c r="AI13" s="2547"/>
      <c r="AJ13" s="2548"/>
    </row>
    <row r="14" spans="1:36" ht="15">
      <c r="A14" s="2973"/>
      <c r="B14" s="1880" t="s">
        <v>1985</v>
      </c>
      <c r="C14" s="1881" t="s">
        <v>1986</v>
      </c>
      <c r="D14" s="1258" t="s">
        <v>1987</v>
      </c>
      <c r="E14" s="27" t="s">
        <v>1988</v>
      </c>
      <c r="F14" s="2985" t="s">
        <v>3241</v>
      </c>
      <c r="G14" s="2985" t="s">
        <v>3241</v>
      </c>
      <c r="H14" s="2985" t="s">
        <v>3241</v>
      </c>
      <c r="I14" s="2985" t="s">
        <v>3241</v>
      </c>
      <c r="J14" s="2985" t="s">
        <v>3241</v>
      </c>
      <c r="K14" s="1053"/>
      <c r="L14" s="1053"/>
      <c r="M14" s="1053"/>
      <c r="N14" s="1053"/>
      <c r="O14" s="1053"/>
      <c r="P14" s="1053"/>
      <c r="Q14" s="1053"/>
      <c r="R14" s="1126">
        <v>13</v>
      </c>
      <c r="S14" s="1127"/>
      <c r="T14" s="3028">
        <f t="shared" si="0"/>
        <v>0</v>
      </c>
      <c r="U14" s="1127"/>
      <c r="V14" s="3028">
        <f t="shared" si="1"/>
        <v>0</v>
      </c>
      <c r="W14" s="1130"/>
      <c r="X14" s="1130"/>
      <c r="Y14" s="1130"/>
      <c r="Z14" s="1130"/>
      <c r="AA14" s="1130"/>
      <c r="AB14" s="1130"/>
      <c r="AC14" s="1131"/>
      <c r="AD14" s="2547"/>
      <c r="AE14" s="2547"/>
      <c r="AF14" s="2547"/>
      <c r="AG14" s="2547"/>
      <c r="AH14" s="2547"/>
      <c r="AI14" s="2547"/>
      <c r="AJ14" s="2548"/>
    </row>
    <row r="15" spans="1:36" ht="15">
      <c r="A15" s="2973"/>
      <c r="B15" s="1882"/>
      <c r="C15" s="1883"/>
      <c r="D15" s="1884"/>
      <c r="E15" s="1885"/>
      <c r="F15" s="1467" t="s">
        <v>3242</v>
      </c>
      <c r="G15" s="1925"/>
      <c r="H15" s="2986"/>
      <c r="I15" s="2987"/>
      <c r="J15" s="2988"/>
      <c r="K15" s="1053"/>
      <c r="L15" s="1053"/>
      <c r="M15" s="1053"/>
      <c r="N15" s="1053"/>
      <c r="O15" s="1053"/>
      <c r="P15" s="1053"/>
      <c r="Q15" s="1053"/>
      <c r="R15" s="1126">
        <v>14</v>
      </c>
      <c r="S15" s="1127"/>
      <c r="T15" s="3028">
        <f t="shared" si="0"/>
        <v>0</v>
      </c>
      <c r="U15" s="1127"/>
      <c r="V15" s="3028">
        <f t="shared" si="1"/>
        <v>0</v>
      </c>
      <c r="W15" s="1130"/>
      <c r="X15" s="1130"/>
      <c r="Y15" s="1130"/>
      <c r="Z15" s="1130"/>
      <c r="AA15" s="1130"/>
      <c r="AB15" s="1130"/>
      <c r="AC15" s="1131"/>
      <c r="AD15" s="2547"/>
      <c r="AE15" s="2547"/>
      <c r="AF15" s="2547"/>
      <c r="AG15" s="2547"/>
      <c r="AH15" s="2547"/>
      <c r="AI15" s="2547"/>
      <c r="AJ15" s="2548"/>
    </row>
    <row r="16" spans="1:36" ht="15.75" thickBot="1">
      <c r="A16" s="2973"/>
      <c r="B16" s="2991" t="s">
        <v>1989</v>
      </c>
      <c r="C16" s="2989"/>
      <c r="D16" s="2989"/>
      <c r="E16" s="2989"/>
      <c r="F16" s="2989">
        <v>1</v>
      </c>
      <c r="G16" s="2989">
        <v>1</v>
      </c>
      <c r="H16" s="2989">
        <v>1</v>
      </c>
      <c r="I16" s="2989">
        <v>1</v>
      </c>
      <c r="J16" s="2990">
        <v>1</v>
      </c>
      <c r="K16" s="1053"/>
      <c r="L16" s="1841"/>
      <c r="M16" s="1841"/>
      <c r="N16" s="1841"/>
      <c r="O16" s="1841"/>
      <c r="P16" s="1841"/>
      <c r="Q16" s="1053"/>
      <c r="R16" s="1126">
        <v>15</v>
      </c>
      <c r="S16" s="1127"/>
      <c r="T16" s="3028">
        <f t="shared" si="0"/>
        <v>0</v>
      </c>
      <c r="U16" s="1127"/>
      <c r="V16" s="3028">
        <f t="shared" si="1"/>
        <v>0</v>
      </c>
      <c r="W16" s="1130"/>
      <c r="X16" s="1130"/>
      <c r="Y16" s="1130"/>
      <c r="Z16" s="1130"/>
      <c r="AA16" s="1130"/>
      <c r="AB16" s="1130"/>
      <c r="AC16" s="1131"/>
      <c r="AD16" s="2547"/>
      <c r="AE16" s="2547"/>
      <c r="AF16" s="2547"/>
      <c r="AG16" s="2547"/>
      <c r="AH16" s="2547"/>
      <c r="AI16" s="2547"/>
      <c r="AJ16" s="2548"/>
    </row>
    <row r="17" spans="1:37">
      <c r="A17" s="3000" t="s">
        <v>3243</v>
      </c>
      <c r="B17" s="2992" t="s">
        <v>3244</v>
      </c>
      <c r="C17" s="3001">
        <f>ROUND(IF(OR(E2="工业",E2="公共服务"),1,IF(AND(E18=0,E19=0),1,IF(AND(E18=J24,E19=G19),0.8,IF(E19=0,1+E17*(-0.2),1+E17*G17*(-0.2))))),4)</f>
        <v>1</v>
      </c>
      <c r="D17" s="2993" t="s">
        <v>3245</v>
      </c>
      <c r="E17" s="3001">
        <f>ROUND(G18/I18,2)</f>
        <v>0</v>
      </c>
      <c r="F17" s="2993" t="s">
        <v>3248</v>
      </c>
      <c r="G17" s="3001" t="e">
        <f>ROUND(E19/G19,2)</f>
        <v>#DIV/0!</v>
      </c>
      <c r="H17" s="3001"/>
      <c r="I17" s="3001"/>
      <c r="J17" s="300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03"/>
      <c r="B18" s="2304"/>
      <c r="C18" s="2999"/>
      <c r="D18" s="2994" t="s">
        <v>3246</v>
      </c>
      <c r="E18" s="2351"/>
      <c r="F18" s="2995" t="s">
        <v>3249</v>
      </c>
      <c r="G18" s="2999">
        <f>ROUND(1-(1/(POWER(1+G24,E18))),4)</f>
        <v>0</v>
      </c>
      <c r="H18" s="2995" t="s">
        <v>3251</v>
      </c>
      <c r="I18" s="2999">
        <f>ROUND(1-(1/(POWER(1+G24,J24))),4)</f>
        <v>0.93120000000000003</v>
      </c>
      <c r="J18" s="300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05"/>
      <c r="B19" s="3006"/>
      <c r="C19" s="3007"/>
      <c r="D19" s="3007" t="s">
        <v>3247</v>
      </c>
      <c r="E19" s="3008"/>
      <c r="F19" s="3009" t="s">
        <v>3250</v>
      </c>
      <c r="G19" s="3008"/>
      <c r="H19" s="3007"/>
      <c r="I19" s="3007"/>
      <c r="J19" s="301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52" t="s">
        <v>3252</v>
      </c>
      <c r="B20" s="159" t="s">
        <v>1994</v>
      </c>
      <c r="C20" s="2996">
        <f>ROUND(IF(F21="与级别开发程度一致",0,(G21-E21)/C21),0)</f>
        <v>-17</v>
      </c>
      <c r="D20" s="3011" t="s">
        <v>1998</v>
      </c>
      <c r="E20" s="3012"/>
      <c r="F20" s="3458" t="s">
        <v>1995</v>
      </c>
      <c r="G20" s="3459"/>
      <c r="H20" s="2997" t="s">
        <v>3535</v>
      </c>
      <c r="I20" s="2997" t="s">
        <v>3536</v>
      </c>
      <c r="J20" s="2998"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53"/>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64"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45635</v>
      </c>
      <c r="H23" s="3013" t="s">
        <v>3254</v>
      </c>
      <c r="I23" s="3014" t="str">
        <f>IF(H23="季度增幅（自定义）",SUMIF(N25:N28,E2,O25:O28),"")</f>
        <v/>
      </c>
      <c r="J23" s="3106"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0.85550000000000004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29.75</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3333</v>
      </c>
      <c r="C25" s="461">
        <f>IF(B25="容积率修正",IF(G3&lt;10,D26,J26),C27)</f>
        <v>0.9415</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1.0481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96371</v>
      </c>
      <c r="D30" s="1922"/>
      <c r="E30" s="1839"/>
      <c r="F30" s="1923"/>
      <c r="G30" s="1839"/>
      <c r="H30" s="1839"/>
      <c r="I30" s="1839"/>
      <c r="J30" s="1924"/>
      <c r="K30" s="1053"/>
      <c r="L30" s="3020" t="s">
        <v>1936</v>
      </c>
      <c r="M30" s="3021" t="s">
        <v>1990</v>
      </c>
      <c r="N30" s="3021" t="s">
        <v>1991</v>
      </c>
      <c r="O30" s="3021" t="s">
        <v>1992</v>
      </c>
      <c r="P30" s="3021" t="s">
        <v>1993</v>
      </c>
      <c r="Q30" s="3024"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1946</v>
      </c>
      <c r="D31" s="1926"/>
      <c r="E31" s="1927"/>
      <c r="F31" s="1928"/>
      <c r="G31" s="1927"/>
      <c r="H31" s="1927"/>
      <c r="I31" s="1927"/>
      <c r="J31" s="1929"/>
      <c r="K31" s="1053"/>
      <c r="L31" s="3022" t="s">
        <v>1996</v>
      </c>
      <c r="M31" s="162">
        <v>0.25</v>
      </c>
      <c r="N31" s="162">
        <v>0.2</v>
      </c>
      <c r="O31" s="162">
        <v>0.15</v>
      </c>
      <c r="P31" s="162">
        <v>0.1</v>
      </c>
      <c r="Q31" s="301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23" t="s">
        <v>1999</v>
      </c>
      <c r="M32" s="2350">
        <f>ROUND($E$24*(1+M31),3)</f>
        <v>5.3999999999999999E-2</v>
      </c>
      <c r="N32" s="2350">
        <f>ROUND($E$24*(1+N31),3)</f>
        <v>5.1999999999999998E-2</v>
      </c>
      <c r="O32" s="2350">
        <f>ROUND($E$24*(1+O31),3)</f>
        <v>0.05</v>
      </c>
      <c r="P32" s="2350">
        <f>ROUND($E$24*(1+P31),3)</f>
        <v>4.8000000000000001E-2</v>
      </c>
      <c r="Q32" s="302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25095</v>
      </c>
      <c r="D33" s="1937">
        <f>'数据-汇总表'!F20</f>
        <v>35300.840000000011</v>
      </c>
      <c r="E33" s="724">
        <f>ROUND(C33*D33/10000,0)</f>
        <v>88587</v>
      </c>
      <c r="F33" s="3015" t="s">
        <v>3258</v>
      </c>
      <c r="G33" s="1938"/>
      <c r="H33" s="1938"/>
      <c r="I33" s="1938"/>
      <c r="J33" s="1939"/>
      <c r="K33" s="1053"/>
      <c r="L33" s="3018" t="s">
        <v>3261</v>
      </c>
      <c r="M33" s="3019">
        <v>5.5E-2</v>
      </c>
      <c r="N33" s="3019">
        <v>5.5E-2</v>
      </c>
      <c r="O33" s="3019">
        <v>0.05</v>
      </c>
      <c r="P33" s="3019">
        <v>0.05</v>
      </c>
      <c r="Q33" s="301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f>ROUND(IF(E2="工业",C33*M42,IF(B25="楼层修正",SUM(V2:V16)*M41*10000/D34,C33*M41)),0)</f>
        <v>6274</v>
      </c>
      <c r="D34" s="1942"/>
      <c r="E34" s="724">
        <f>ROUND(IF(B25="楼层修正",SUM(V2:V16)*M40,C34*D34/10000),0)</f>
        <v>0</v>
      </c>
      <c r="F34" s="1943" t="s">
        <v>2032</v>
      </c>
      <c r="G34" s="1944"/>
      <c r="H34" s="1944"/>
      <c r="I34" s="1944"/>
      <c r="J34" s="1945"/>
      <c r="K34" s="1053"/>
      <c r="L34" s="3018" t="s">
        <v>3262</v>
      </c>
      <c r="M34" s="3019">
        <v>6.5000000000000002E-2</v>
      </c>
      <c r="N34" s="3019">
        <v>6.5000000000000002E-2</v>
      </c>
      <c r="O34" s="3019">
        <v>0.06</v>
      </c>
      <c r="P34" s="3019">
        <v>0.06</v>
      </c>
      <c r="Q34" s="301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16"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07">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6"/>
      <c r="B37" s="1952" t="s">
        <v>2036</v>
      </c>
      <c r="C37" s="167">
        <f>ROUND(D5*C22*C23*C24*C28*F37,0)</f>
        <v>18658</v>
      </c>
      <c r="D37" s="3166"/>
      <c r="E37" s="163">
        <f>ROUND(C37*D37/10000,0)</f>
        <v>0</v>
      </c>
      <c r="F37" s="163">
        <f>SUMIF(修正!A57:A68,G2,修正!B57:B68)</f>
        <v>0.7</v>
      </c>
      <c r="G37" s="163">
        <f>ROUND(IF(E2="工业",C37*$M$42,C37*$M$41),0)</f>
        <v>4665</v>
      </c>
      <c r="H37" s="163">
        <f>D37</f>
        <v>0</v>
      </c>
      <c r="I37" s="163">
        <f>ROUND(G37*H37/10000,0)</f>
        <v>0</v>
      </c>
      <c r="J37" s="2748"/>
      <c r="K37" s="3026"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7"/>
      <c r="B38" s="1881" t="s">
        <v>2037</v>
      </c>
      <c r="C38" s="167">
        <f>ROUND(D5*C22*C23*C24*C28*F38,0)</f>
        <v>10662</v>
      </c>
      <c r="D38" s="1937"/>
      <c r="E38" s="163">
        <f t="shared" ref="E38:E42" si="4">ROUND(C38*D38/10000,0)</f>
        <v>0</v>
      </c>
      <c r="F38" s="163">
        <f>SUMIF(修正!A57:A68,G2,修正!C57:C68)</f>
        <v>0.4</v>
      </c>
      <c r="G38" s="163">
        <f>ROUND(IF(E2="工业",C38*$M$42,C38*$M$41),0)</f>
        <v>2666</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7"/>
      <c r="B39" s="1881" t="s">
        <v>3257</v>
      </c>
      <c r="C39" s="167">
        <f>ROUND(D5*C22*C23*C24*C28*F39,0)</f>
        <v>7996</v>
      </c>
      <c r="D39" s="1937"/>
      <c r="E39" s="163">
        <f t="shared" si="4"/>
        <v>0</v>
      </c>
      <c r="F39" s="163">
        <f>SUMIF(修正!A57:A68,G2,修正!D57:D68)</f>
        <v>0.3</v>
      </c>
      <c r="G39" s="163">
        <f>ROUND(IF(E2="工业",C39*$M$42,C39*$M$41),0)</f>
        <v>1999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7996</v>
      </c>
      <c r="D40" s="1937"/>
      <c r="E40" s="163">
        <f t="shared" si="4"/>
        <v>0</v>
      </c>
      <c r="F40" s="167">
        <f>SUMIF(修正!A57:A68,G2,修正!E57:E68)</f>
        <v>0.3</v>
      </c>
      <c r="G40" s="163">
        <f>ROUND(IF(E2="工业",C40*$M$42,C40*$M$41),0)</f>
        <v>1999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7996</v>
      </c>
      <c r="D41" s="1937"/>
      <c r="E41" s="163">
        <f t="shared" si="4"/>
        <v>0</v>
      </c>
      <c r="F41" s="167">
        <f>SUMIF(修正!A57:A68,G2,修正!F57:F68)</f>
        <v>0.3</v>
      </c>
      <c r="G41" s="163">
        <f>ROUND(IF(E2="工业",C41*$M$42,C41*$M$41),0)</f>
        <v>1999</v>
      </c>
      <c r="H41" s="163">
        <f t="shared" si="5"/>
        <v>0</v>
      </c>
      <c r="I41" s="163">
        <f t="shared" si="6"/>
        <v>0</v>
      </c>
      <c r="J41" s="936"/>
      <c r="L41" s="3027"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5331</v>
      </c>
      <c r="D42" s="1942">
        <f>'数据-汇总表'!G21</f>
        <v>14601.09</v>
      </c>
      <c r="E42" s="179">
        <f t="shared" si="4"/>
        <v>7784</v>
      </c>
      <c r="F42" s="720">
        <f>SUMIF(修正!A57:A68,G2,修正!G57:G68)</f>
        <v>0.2</v>
      </c>
      <c r="G42" s="179">
        <f>ROUND(IF(E2="工业",C42*$M$42,C42*$M$41),0)</f>
        <v>1333</v>
      </c>
      <c r="H42" s="179">
        <f t="shared" si="5"/>
        <v>14601.09</v>
      </c>
      <c r="I42" s="179">
        <f t="shared" si="6"/>
        <v>1946</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hidden="1">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3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3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35" t="s">
        <v>3267</v>
      </c>
      <c r="B52" s="1259">
        <f>估价对象房地状况!C19</f>
        <v>0</v>
      </c>
      <c r="C52" s="1884"/>
      <c r="D52" s="999">
        <f t="shared" si="7"/>
        <v>0</v>
      </c>
      <c r="E52" s="700"/>
      <c r="F52" s="1672"/>
      <c r="G52" s="997"/>
      <c r="H52" s="1000" t="str">
        <f t="shared" si="8"/>
        <v>——</v>
      </c>
      <c r="I52" s="303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3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c r="D54" s="999">
        <f t="shared" si="7"/>
        <v>0</v>
      </c>
      <c r="E54" s="700"/>
      <c r="F54" s="1672"/>
      <c r="G54" s="997"/>
      <c r="H54" s="1000" t="str">
        <f t="shared" si="8"/>
        <v>——</v>
      </c>
      <c r="I54" s="303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3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3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3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较好</v>
      </c>
      <c r="C58" s="1884"/>
      <c r="D58" s="999">
        <f t="shared" si="7"/>
        <v>0</v>
      </c>
      <c r="E58" s="701"/>
      <c r="F58" s="1672"/>
      <c r="G58" s="997"/>
      <c r="H58" s="1000" t="str">
        <f t="shared" si="8"/>
        <v>——</v>
      </c>
      <c r="I58" s="303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1.0481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3561</v>
      </c>
      <c r="D61" s="999">
        <f t="shared" ref="D61:D69" si="12">SUMIF($J$60:$N$60,C61,J61:N61)</f>
        <v>1.21E-2</v>
      </c>
      <c r="E61" s="699">
        <f>ROUND(SUM(D61:D69),4)</f>
        <v>4.8099999999999997E-2</v>
      </c>
      <c r="F61" s="1672">
        <f>IF(E2="办公",SUMIF(L1:L12,G2,N1:N12),"——")</f>
        <v>9.7000000000000003E-2</v>
      </c>
      <c r="G61" s="997">
        <v>1.21E-2</v>
      </c>
      <c r="H61" s="1000">
        <f t="shared" ref="H61:H69" si="13">IFERROR(ROUNDDOWN($F$61*I61/2,4),"——")</f>
        <v>1.21E-2</v>
      </c>
      <c r="I61" s="3033">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3561</v>
      </c>
      <c r="D62" s="999">
        <f t="shared" si="12"/>
        <v>1.26E-2</v>
      </c>
      <c r="E62" s="700"/>
      <c r="F62" s="1672"/>
      <c r="G62" s="997">
        <v>1.26E-2</v>
      </c>
      <c r="H62" s="1000">
        <f t="shared" si="13"/>
        <v>1.26E-2</v>
      </c>
      <c r="I62" s="3033">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35" t="s">
        <v>3267</v>
      </c>
      <c r="B63" s="1259">
        <f>估价对象房地状况!C19</f>
        <v>0</v>
      </c>
      <c r="C63" s="1884" t="s">
        <v>3561</v>
      </c>
      <c r="D63" s="999">
        <f t="shared" si="12"/>
        <v>5.3E-3</v>
      </c>
      <c r="E63" s="700"/>
      <c r="F63" s="1672"/>
      <c r="G63" s="997">
        <v>5.3E-3</v>
      </c>
      <c r="H63" s="1000">
        <f t="shared" si="13"/>
        <v>5.3E-3</v>
      </c>
      <c r="I63" s="3033">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3561</v>
      </c>
      <c r="D64" s="999">
        <f t="shared" si="12"/>
        <v>2.3999999999999998E-3</v>
      </c>
      <c r="E64" s="700"/>
      <c r="F64" s="1672"/>
      <c r="G64" s="997">
        <v>2.3999999999999998E-3</v>
      </c>
      <c r="H64" s="1000">
        <f t="shared" si="13"/>
        <v>2.3999999999999998E-3</v>
      </c>
      <c r="I64" s="3033">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65" t="s">
        <v>3576</v>
      </c>
      <c r="D65" s="999">
        <f t="shared" si="12"/>
        <v>-2E-3</v>
      </c>
      <c r="E65" s="700"/>
      <c r="F65" s="1672"/>
      <c r="G65" s="997">
        <v>2E-3</v>
      </c>
      <c r="H65" s="1000">
        <f t="shared" si="13"/>
        <v>2.3999999999999998E-3</v>
      </c>
      <c r="I65" s="3033">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c r="A66" s="1967" t="s">
        <v>2057</v>
      </c>
      <c r="B66" s="1972" t="s">
        <v>2058</v>
      </c>
      <c r="C66" s="1884" t="s">
        <v>3561</v>
      </c>
      <c r="D66" s="999">
        <f t="shared" si="12"/>
        <v>2.8999999999999998E-3</v>
      </c>
      <c r="E66" s="700"/>
      <c r="F66" s="1672"/>
      <c r="G66" s="997">
        <v>2.8999999999999998E-3</v>
      </c>
      <c r="H66" s="1000">
        <f t="shared" si="13"/>
        <v>2.8999999999999998E-3</v>
      </c>
      <c r="I66" s="3033">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3561</v>
      </c>
      <c r="D67" s="999">
        <f t="shared" si="12"/>
        <v>2.8999999999999998E-3</v>
      </c>
      <c r="E67" s="700"/>
      <c r="F67" s="1672"/>
      <c r="G67" s="997">
        <v>2.8999999999999998E-3</v>
      </c>
      <c r="H67" s="1000">
        <f t="shared" si="13"/>
        <v>2.8999999999999998E-3</v>
      </c>
      <c r="I67" s="3033">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3575</v>
      </c>
      <c r="D68" s="999">
        <f t="shared" si="12"/>
        <v>8.6E-3</v>
      </c>
      <c r="E68" s="700"/>
      <c r="F68" s="1672"/>
      <c r="G68" s="997">
        <v>4.3E-3</v>
      </c>
      <c r="H68" s="1000">
        <f t="shared" si="13"/>
        <v>4.3E-3</v>
      </c>
      <c r="I68" s="3033">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t="s">
        <v>3561</v>
      </c>
      <c r="D69" s="999">
        <f t="shared" si="12"/>
        <v>3.3E-3</v>
      </c>
      <c r="E69" s="701"/>
      <c r="F69" s="1672"/>
      <c r="G69" s="997">
        <v>3.3E-3</v>
      </c>
      <c r="H69" s="1000">
        <f t="shared" si="13"/>
        <v>3.3E-3</v>
      </c>
      <c r="I69" s="3034">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3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3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35" t="s">
        <v>3267</v>
      </c>
      <c r="B74" s="1259">
        <f>估价对象房地状况!C19</f>
        <v>0</v>
      </c>
      <c r="C74" s="1884"/>
      <c r="D74" s="999">
        <f t="shared" si="17"/>
        <v>0</v>
      </c>
      <c r="E74" s="702"/>
      <c r="F74" s="1672"/>
      <c r="G74" s="997"/>
      <c r="H74" s="1000" t="str">
        <f t="shared" si="18"/>
        <v>——</v>
      </c>
      <c r="I74" s="303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3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3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3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33">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3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3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3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33">
        <v>0.3</v>
      </c>
      <c r="J84" s="998">
        <f t="shared" si="24"/>
        <v>0</v>
      </c>
      <c r="K84" s="998">
        <f t="shared" si="25"/>
        <v>0</v>
      </c>
      <c r="L84" s="998">
        <v>0</v>
      </c>
      <c r="M84" s="998">
        <f t="shared" si="26"/>
        <v>0</v>
      </c>
      <c r="N84" s="998">
        <f t="shared" si="26"/>
        <v>0</v>
      </c>
      <c r="Z84" s="1842"/>
      <c r="AA84" s="1892"/>
      <c r="AG84" s="1055"/>
      <c r="AK84" s="1892"/>
    </row>
    <row r="85" spans="1:37" ht="36">
      <c r="A85" s="3035" t="s">
        <v>3267</v>
      </c>
      <c r="B85" s="1259">
        <f>估价对象房地状况!G17</f>
        <v>0</v>
      </c>
      <c r="C85" s="1884"/>
      <c r="D85" s="999">
        <f t="shared" si="22"/>
        <v>0</v>
      </c>
      <c r="E85" s="702"/>
      <c r="F85" s="1672"/>
      <c r="G85" s="997"/>
      <c r="H85" s="1000" t="str">
        <f t="shared" si="23"/>
        <v>——</v>
      </c>
      <c r="I85" s="303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3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3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3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3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34">
        <v>0.05</v>
      </c>
      <c r="J90" s="998">
        <f t="shared" si="24"/>
        <v>0</v>
      </c>
      <c r="K90" s="998">
        <f t="shared" si="25"/>
        <v>0</v>
      </c>
      <c r="L90" s="998">
        <v>0</v>
      </c>
      <c r="M90" s="998">
        <f t="shared" si="26"/>
        <v>0</v>
      </c>
      <c r="N90" s="998">
        <f t="shared" si="26"/>
        <v>0</v>
      </c>
    </row>
    <row r="91" spans="1:37" ht="15">
      <c r="A91" s="3043" t="s">
        <v>2610</v>
      </c>
      <c r="B91" s="3044">
        <f>1+E93</f>
        <v>1</v>
      </c>
      <c r="C91" s="3037"/>
      <c r="D91" s="3038"/>
      <c r="E91" s="1672"/>
      <c r="F91" s="1672"/>
      <c r="G91" s="3039"/>
      <c r="H91" s="3040"/>
      <c r="I91" s="3041"/>
      <c r="J91" s="3042"/>
      <c r="K91" s="3042"/>
      <c r="L91" s="3042"/>
      <c r="M91" s="3042"/>
      <c r="N91" s="3042"/>
    </row>
    <row r="92" spans="1:37" ht="24.75">
      <c r="A92" s="3045" t="s">
        <v>2044</v>
      </c>
      <c r="B92" s="2304"/>
      <c r="C92" s="2304" t="s">
        <v>2046</v>
      </c>
      <c r="D92" s="2304" t="s">
        <v>2047</v>
      </c>
      <c r="E92" s="3017" t="s">
        <v>2048</v>
      </c>
      <c r="F92" s="3047" t="s">
        <v>3281</v>
      </c>
      <c r="G92" s="2304" t="s">
        <v>1989</v>
      </c>
      <c r="H92" s="3054" t="s">
        <v>3285</v>
      </c>
      <c r="I92" s="2304" t="s">
        <v>2051</v>
      </c>
      <c r="J92" s="2146" t="s">
        <v>1721</v>
      </c>
      <c r="K92" s="2146" t="s">
        <v>1722</v>
      </c>
      <c r="L92" s="2146" t="s">
        <v>1723</v>
      </c>
      <c r="M92" s="2146" t="s">
        <v>1724</v>
      </c>
      <c r="N92" s="2146" t="s">
        <v>1725</v>
      </c>
    </row>
    <row r="93" spans="1:37" ht="24">
      <c r="A93" s="3035" t="s">
        <v>3270</v>
      </c>
      <c r="B93" s="1218"/>
      <c r="C93" s="1884"/>
      <c r="D93" s="2304">
        <f>SUMIF($J$92:$N$92,C93,J93:N93)</f>
        <v>0</v>
      </c>
      <c r="E93" s="3048">
        <f>ROUND(SUM(D93:D101),4)</f>
        <v>0</v>
      </c>
      <c r="F93" s="1672" t="str">
        <f>IF(E2="公共服务",SUMIF(L1:L12,G2,N1:N12),"——")</f>
        <v>——</v>
      </c>
      <c r="G93" s="3039"/>
      <c r="H93" s="3084" t="str">
        <f>IFERROR(ROUNDDOWN($F$93*I93/2,4),"——")</f>
        <v>——</v>
      </c>
      <c r="I93" s="3033">
        <v>0.25</v>
      </c>
      <c r="J93" s="1909">
        <f t="shared" ref="J93:J101" si="27">K93+$G93</f>
        <v>0</v>
      </c>
      <c r="K93" s="1909">
        <f t="shared" ref="K93:K101" si="28">$L93+$G93</f>
        <v>0</v>
      </c>
      <c r="L93" s="1909">
        <v>0</v>
      </c>
      <c r="M93" s="1909">
        <f t="shared" ref="M93:N101" si="29">L93-$G93</f>
        <v>0</v>
      </c>
      <c r="N93" s="1909">
        <f t="shared" si="29"/>
        <v>0</v>
      </c>
    </row>
    <row r="94" spans="1:37" ht="14.25">
      <c r="A94" s="3045" t="s">
        <v>2053</v>
      </c>
      <c r="B94" s="3036" t="str">
        <f>估价对象房地状况!C18</f>
        <v>较好</v>
      </c>
      <c r="C94" s="1884"/>
      <c r="D94" s="2304">
        <f t="shared" ref="D94:D101" si="30">SUMIF($J$60:$N$60,C94,J94:N94)</f>
        <v>0</v>
      </c>
      <c r="E94" s="3049"/>
      <c r="F94" s="1672"/>
      <c r="G94" s="3039"/>
      <c r="H94" s="3084" t="str">
        <f>IFERROR(ROUNDDOWN($F$93*I94/2,4),"——")</f>
        <v>——</v>
      </c>
      <c r="I94" s="3033">
        <v>0.26</v>
      </c>
      <c r="J94" s="1909">
        <f t="shared" si="27"/>
        <v>0</v>
      </c>
      <c r="K94" s="1909">
        <f t="shared" si="28"/>
        <v>0</v>
      </c>
      <c r="L94" s="1909">
        <v>0</v>
      </c>
      <c r="M94" s="1909">
        <f t="shared" si="29"/>
        <v>0</v>
      </c>
      <c r="N94" s="1909">
        <f t="shared" si="29"/>
        <v>0</v>
      </c>
    </row>
    <row r="95" spans="1:37" ht="36">
      <c r="A95" s="3035" t="s">
        <v>3267</v>
      </c>
      <c r="B95" s="3036">
        <f>估价对象房地状况!C19</f>
        <v>0</v>
      </c>
      <c r="C95" s="1884"/>
      <c r="D95" s="2304">
        <f t="shared" si="30"/>
        <v>0</v>
      </c>
      <c r="E95" s="3049"/>
      <c r="F95" s="1672"/>
      <c r="G95" s="3039"/>
      <c r="H95" s="3084" t="str">
        <f t="shared" ref="H95:H101" si="31">IFERROR(ROUNDDOWN($F$93*I95/2,4),"——")</f>
        <v>——</v>
      </c>
      <c r="I95" s="3033">
        <v>0.11</v>
      </c>
      <c r="J95" s="1909">
        <f t="shared" si="27"/>
        <v>0</v>
      </c>
      <c r="K95" s="1909">
        <f t="shared" si="28"/>
        <v>0</v>
      </c>
      <c r="L95" s="1909">
        <v>0</v>
      </c>
      <c r="M95" s="1909">
        <f t="shared" si="29"/>
        <v>0</v>
      </c>
      <c r="N95" s="1909">
        <f t="shared" si="29"/>
        <v>0</v>
      </c>
    </row>
    <row r="96" spans="1:37" ht="36.75">
      <c r="A96" s="3045" t="s">
        <v>2054</v>
      </c>
      <c r="B96" s="3051" t="s">
        <v>3283</v>
      </c>
      <c r="C96" s="1884"/>
      <c r="D96" s="2304">
        <f t="shared" si="30"/>
        <v>0</v>
      </c>
      <c r="E96" s="3049"/>
      <c r="F96" s="1672"/>
      <c r="G96" s="3039"/>
      <c r="H96" s="3084" t="str">
        <f t="shared" si="31"/>
        <v>——</v>
      </c>
      <c r="I96" s="3033">
        <v>0.05</v>
      </c>
      <c r="J96" s="1909">
        <f t="shared" si="27"/>
        <v>0</v>
      </c>
      <c r="K96" s="1909">
        <f t="shared" si="28"/>
        <v>0</v>
      </c>
      <c r="L96" s="1909">
        <v>0</v>
      </c>
      <c r="M96" s="1909">
        <f t="shared" si="29"/>
        <v>0</v>
      </c>
      <c r="N96" s="1909">
        <f t="shared" si="29"/>
        <v>0</v>
      </c>
    </row>
    <row r="97" spans="1:14" ht="24">
      <c r="A97" s="3045" t="s">
        <v>2056</v>
      </c>
      <c r="B97" s="3036">
        <f>估价对象房地状况!C24</f>
        <v>0</v>
      </c>
      <c r="C97" s="1884"/>
      <c r="D97" s="2304">
        <f t="shared" si="30"/>
        <v>0</v>
      </c>
      <c r="E97" s="3049"/>
      <c r="F97" s="1672"/>
      <c r="G97" s="3039"/>
      <c r="H97" s="3084" t="str">
        <f t="shared" si="31"/>
        <v>——</v>
      </c>
      <c r="I97" s="3033">
        <v>0.05</v>
      </c>
      <c r="J97" s="1909">
        <f t="shared" si="27"/>
        <v>0</v>
      </c>
      <c r="K97" s="1909">
        <f t="shared" si="28"/>
        <v>0</v>
      </c>
      <c r="L97" s="1909">
        <v>0</v>
      </c>
      <c r="M97" s="1909">
        <f t="shared" si="29"/>
        <v>0</v>
      </c>
      <c r="N97" s="1909">
        <f t="shared" si="29"/>
        <v>0</v>
      </c>
    </row>
    <row r="98" spans="1:14" ht="24">
      <c r="A98" s="3045" t="s">
        <v>2057</v>
      </c>
      <c r="B98" s="3052" t="s">
        <v>3284</v>
      </c>
      <c r="C98" s="1884"/>
      <c r="D98" s="2304">
        <f t="shared" si="30"/>
        <v>0</v>
      </c>
      <c r="E98" s="3049"/>
      <c r="F98" s="1672"/>
      <c r="G98" s="3039"/>
      <c r="H98" s="3084" t="str">
        <f t="shared" si="31"/>
        <v>——</v>
      </c>
      <c r="I98" s="3033">
        <v>0.06</v>
      </c>
      <c r="J98" s="1909">
        <f t="shared" si="27"/>
        <v>0</v>
      </c>
      <c r="K98" s="1909">
        <f t="shared" si="28"/>
        <v>0</v>
      </c>
      <c r="L98" s="1909">
        <v>0</v>
      </c>
      <c r="M98" s="1909">
        <f t="shared" si="29"/>
        <v>0</v>
      </c>
      <c r="N98" s="1909">
        <f t="shared" si="29"/>
        <v>0</v>
      </c>
    </row>
    <row r="99" spans="1:14" ht="24">
      <c r="A99" s="3045" t="s">
        <v>2059</v>
      </c>
      <c r="B99" s="3036" t="str">
        <f>估价对象房地状况!C21</f>
        <v>较好</v>
      </c>
      <c r="C99" s="1884"/>
      <c r="D99" s="2304">
        <f t="shared" si="30"/>
        <v>0</v>
      </c>
      <c r="E99" s="3049"/>
      <c r="F99" s="1672"/>
      <c r="G99" s="3039"/>
      <c r="H99" s="3084" t="str">
        <f t="shared" si="31"/>
        <v>——</v>
      </c>
      <c r="I99" s="3033">
        <v>0.06</v>
      </c>
      <c r="J99" s="1909">
        <f t="shared" si="27"/>
        <v>0</v>
      </c>
      <c r="K99" s="1909">
        <f t="shared" si="28"/>
        <v>0</v>
      </c>
      <c r="L99" s="1909">
        <v>0</v>
      </c>
      <c r="M99" s="1909">
        <f t="shared" si="29"/>
        <v>0</v>
      </c>
      <c r="N99" s="1909">
        <f t="shared" si="29"/>
        <v>0</v>
      </c>
    </row>
    <row r="100" spans="1:14" ht="24">
      <c r="A100" s="3045" t="s">
        <v>2060</v>
      </c>
      <c r="B100" s="3036" t="str">
        <f>估价对象房地状况!C22</f>
        <v>七通</v>
      </c>
      <c r="C100" s="1884"/>
      <c r="D100" s="2304">
        <f t="shared" si="30"/>
        <v>0</v>
      </c>
      <c r="E100" s="3049"/>
      <c r="F100" s="1672"/>
      <c r="G100" s="3039"/>
      <c r="H100" s="3084" t="str">
        <f t="shared" si="31"/>
        <v>——</v>
      </c>
      <c r="I100" s="3033">
        <v>0.09</v>
      </c>
      <c r="J100" s="1909">
        <f t="shared" si="27"/>
        <v>0</v>
      </c>
      <c r="K100" s="1909">
        <f t="shared" si="28"/>
        <v>0</v>
      </c>
      <c r="L100" s="1909">
        <v>0</v>
      </c>
      <c r="M100" s="1909">
        <f t="shared" si="29"/>
        <v>0</v>
      </c>
      <c r="N100" s="1909">
        <f t="shared" si="29"/>
        <v>0</v>
      </c>
    </row>
    <row r="101" spans="1:14" ht="24.75" thickBot="1">
      <c r="A101" s="3046" t="s">
        <v>2061</v>
      </c>
      <c r="B101" s="3053" t="str">
        <f>估价对象房地状况!C20</f>
        <v>较好</v>
      </c>
      <c r="C101" s="1884"/>
      <c r="D101" s="2304">
        <f t="shared" si="30"/>
        <v>0</v>
      </c>
      <c r="E101" s="3050"/>
      <c r="F101" s="1672"/>
      <c r="G101" s="3039"/>
      <c r="H101" s="3084" t="str">
        <f t="shared" si="31"/>
        <v>——</v>
      </c>
      <c r="I101" s="3034">
        <v>7.0000000000000007E-2</v>
      </c>
      <c r="J101" s="1909">
        <f t="shared" si="27"/>
        <v>0</v>
      </c>
      <c r="K101" s="1909">
        <f t="shared" si="28"/>
        <v>0</v>
      </c>
      <c r="L101" s="1909">
        <v>0</v>
      </c>
      <c r="M101" s="1909">
        <f t="shared" si="29"/>
        <v>0</v>
      </c>
      <c r="N101" s="1909">
        <f t="shared" si="29"/>
        <v>0</v>
      </c>
    </row>
    <row r="103" spans="1:14">
      <c r="A103" s="3454" t="s">
        <v>3292</v>
      </c>
      <c r="B103" s="3454"/>
      <c r="C103" s="3454"/>
      <c r="D103" s="3454"/>
      <c r="E103" s="3454"/>
      <c r="F103" s="3454"/>
      <c r="G103" s="3454"/>
      <c r="H103" s="3454"/>
      <c r="I103" s="3454"/>
      <c r="J103" s="3454"/>
      <c r="K103" s="1664"/>
      <c r="L103" s="1664"/>
      <c r="M103" s="1664"/>
      <c r="N103" s="1664"/>
    </row>
    <row r="104" spans="1:14">
      <c r="A104" s="3455" t="s">
        <v>3293</v>
      </c>
      <c r="B104" s="3455" t="s">
        <v>3294</v>
      </c>
      <c r="C104" s="3055" t="s">
        <v>3295</v>
      </c>
      <c r="D104" s="3056"/>
      <c r="E104" s="3056"/>
      <c r="F104" s="3056"/>
      <c r="G104" s="3056"/>
      <c r="H104" s="3056"/>
      <c r="I104" s="3056"/>
      <c r="J104" s="3057"/>
      <c r="K104" s="3058"/>
      <c r="L104" s="3058"/>
      <c r="M104" s="3058"/>
      <c r="N104" s="3058"/>
    </row>
    <row r="105" spans="1:14">
      <c r="A105" s="3455"/>
      <c r="B105" s="3455"/>
      <c r="C105" s="3059" t="s">
        <v>1961</v>
      </c>
      <c r="D105" s="3059" t="s">
        <v>1962</v>
      </c>
      <c r="E105" s="3059" t="s">
        <v>1963</v>
      </c>
      <c r="F105" s="3059" t="s">
        <v>1964</v>
      </c>
      <c r="G105" s="3059" t="s">
        <v>1965</v>
      </c>
      <c r="H105" s="3059" t="s">
        <v>1966</v>
      </c>
      <c r="I105" s="3059" t="s">
        <v>1967</v>
      </c>
      <c r="J105" s="3059" t="s">
        <v>1968</v>
      </c>
      <c r="K105" s="3059" t="s">
        <v>1969</v>
      </c>
      <c r="L105" s="3059" t="s">
        <v>1970</v>
      </c>
      <c r="M105" s="3059" t="s">
        <v>1971</v>
      </c>
      <c r="N105" s="3059" t="s">
        <v>1972</v>
      </c>
    </row>
    <row r="106" spans="1:14">
      <c r="A106" s="3441" t="s">
        <v>3308</v>
      </c>
      <c r="B106" s="3059">
        <v>1</v>
      </c>
      <c r="C106" s="3059">
        <v>1.5206</v>
      </c>
      <c r="D106" s="3059">
        <v>1.5206</v>
      </c>
      <c r="E106" s="3059">
        <v>1.5019</v>
      </c>
      <c r="F106" s="3059">
        <v>1.5019</v>
      </c>
      <c r="G106" s="3059">
        <v>1.5019</v>
      </c>
      <c r="H106" s="3059">
        <v>1.5019</v>
      </c>
      <c r="I106" s="3059">
        <v>1.5019</v>
      </c>
      <c r="J106" s="3059">
        <v>1.5418000000000001</v>
      </c>
      <c r="K106" s="3059">
        <v>1.5418000000000001</v>
      </c>
      <c r="L106" s="3059">
        <v>1.5418000000000001</v>
      </c>
      <c r="M106" s="3059">
        <v>1.5418000000000001</v>
      </c>
      <c r="N106" s="3059">
        <v>1.5418000000000001</v>
      </c>
    </row>
    <row r="107" spans="1:14">
      <c r="A107" s="3442"/>
      <c r="B107" s="3059">
        <v>2</v>
      </c>
      <c r="C107" s="3059">
        <v>1.2072000000000001</v>
      </c>
      <c r="D107" s="3059">
        <v>1.2072000000000001</v>
      </c>
      <c r="E107" s="3059">
        <v>1.1838</v>
      </c>
      <c r="F107" s="3059">
        <v>1.1838</v>
      </c>
      <c r="G107" s="3059">
        <v>1.1838</v>
      </c>
      <c r="H107" s="3059">
        <v>1.1838</v>
      </c>
      <c r="I107" s="3059">
        <v>1.1838</v>
      </c>
      <c r="J107" s="3059">
        <v>1.1883999999999999</v>
      </c>
      <c r="K107" s="3059">
        <v>1.1883999999999999</v>
      </c>
      <c r="L107" s="3059">
        <v>1.1883999999999999</v>
      </c>
      <c r="M107" s="3059">
        <v>1.1883999999999999</v>
      </c>
      <c r="N107" s="3059">
        <v>1.1883999999999999</v>
      </c>
    </row>
    <row r="108" spans="1:14">
      <c r="A108" s="3442"/>
      <c r="B108" s="3059">
        <v>3</v>
      </c>
      <c r="C108" s="3059">
        <v>1.0430999999999999</v>
      </c>
      <c r="D108" s="3059">
        <v>1.0430999999999999</v>
      </c>
      <c r="E108" s="3059">
        <v>1.0004999999999999</v>
      </c>
      <c r="F108" s="3059">
        <v>1.0004999999999999</v>
      </c>
      <c r="G108" s="3059">
        <v>1.0004999999999999</v>
      </c>
      <c r="H108" s="3059">
        <v>1.0004999999999999</v>
      </c>
      <c r="I108" s="3059">
        <v>1.0004999999999999</v>
      </c>
      <c r="J108" s="3059">
        <v>0.96940000000000004</v>
      </c>
      <c r="K108" s="3059">
        <v>0.96940000000000004</v>
      </c>
      <c r="L108" s="3059">
        <v>0.96940000000000004</v>
      </c>
      <c r="M108" s="3059">
        <v>0.96940000000000004</v>
      </c>
      <c r="N108" s="3059">
        <v>0.96940000000000004</v>
      </c>
    </row>
    <row r="109" spans="1:14">
      <c r="A109" s="3442"/>
      <c r="B109" s="3059">
        <v>4</v>
      </c>
      <c r="C109" s="3059">
        <v>0.94389999999999996</v>
      </c>
      <c r="D109" s="3059">
        <v>0.94389999999999996</v>
      </c>
      <c r="E109" s="3059">
        <v>0.88239999999999996</v>
      </c>
      <c r="F109" s="3059">
        <v>0.88239999999999996</v>
      </c>
      <c r="G109" s="3059">
        <v>0.88239999999999996</v>
      </c>
      <c r="H109" s="3059">
        <v>0.88239999999999996</v>
      </c>
      <c r="I109" s="3059">
        <v>0.88239999999999996</v>
      </c>
      <c r="J109" s="3059">
        <v>0.82299999999999995</v>
      </c>
      <c r="K109" s="3059">
        <v>0.82299999999999995</v>
      </c>
      <c r="L109" s="3059">
        <v>0.82299999999999995</v>
      </c>
      <c r="M109" s="3059">
        <v>0.82299999999999995</v>
      </c>
      <c r="N109" s="3059">
        <v>0.82299999999999995</v>
      </c>
    </row>
    <row r="110" spans="1:14">
      <c r="A110" s="3442"/>
      <c r="B110" s="3059">
        <v>5</v>
      </c>
      <c r="C110" s="3059">
        <v>0.89959999999999996</v>
      </c>
      <c r="D110" s="3059">
        <v>0.89959999999999996</v>
      </c>
      <c r="E110" s="3059">
        <v>0.84799999999999998</v>
      </c>
      <c r="F110" s="3059">
        <v>0.84799999999999998</v>
      </c>
      <c r="G110" s="3059">
        <v>0.84799999999999998</v>
      </c>
      <c r="H110" s="3059">
        <v>0.84799999999999998</v>
      </c>
      <c r="I110" s="3059">
        <v>0.84799999999999998</v>
      </c>
      <c r="J110" s="3059">
        <v>0.74980000000000002</v>
      </c>
      <c r="K110" s="3059">
        <v>0.74980000000000002</v>
      </c>
      <c r="L110" s="3059">
        <v>0.74980000000000002</v>
      </c>
      <c r="M110" s="3059">
        <v>0.74980000000000002</v>
      </c>
      <c r="N110" s="3059">
        <v>0.74980000000000002</v>
      </c>
    </row>
    <row r="111" spans="1:14">
      <c r="A111" s="3442"/>
      <c r="B111" s="3059" t="s">
        <v>3266</v>
      </c>
      <c r="C111" s="3060">
        <f>$I$3</f>
        <v>1</v>
      </c>
      <c r="D111" s="3060">
        <f t="shared" ref="D111:M111" si="32">$I$3</f>
        <v>1</v>
      </c>
      <c r="E111" s="3060">
        <f t="shared" si="32"/>
        <v>1</v>
      </c>
      <c r="F111" s="3060">
        <f t="shared" si="32"/>
        <v>1</v>
      </c>
      <c r="G111" s="3060">
        <f t="shared" si="32"/>
        <v>1</v>
      </c>
      <c r="H111" s="3060">
        <f t="shared" si="32"/>
        <v>1</v>
      </c>
      <c r="I111" s="3060">
        <f t="shared" si="32"/>
        <v>1</v>
      </c>
      <c r="J111" s="3060">
        <f t="shared" si="32"/>
        <v>1</v>
      </c>
      <c r="K111" s="3060">
        <f t="shared" si="32"/>
        <v>1</v>
      </c>
      <c r="L111" s="3060">
        <f t="shared" si="32"/>
        <v>1</v>
      </c>
      <c r="M111" s="3060">
        <f t="shared" si="32"/>
        <v>1</v>
      </c>
      <c r="N111" s="3060">
        <f>$I$3</f>
        <v>1</v>
      </c>
    </row>
    <row r="112" spans="1:14">
      <c r="A112" s="3443"/>
      <c r="B112" s="3059">
        <v>6</v>
      </c>
      <c r="C112" s="3054">
        <f>(-0.5556*(C111^2)-0.2719*C111+8944)*(10^(-4))</f>
        <v>0.89431725000000006</v>
      </c>
      <c r="D112" s="3054">
        <f>(-0.5556*(D111^2)-0.2719*D111+8944)*(10^(-4))</f>
        <v>0.89431725000000006</v>
      </c>
      <c r="E112" s="3054">
        <f>(-0.7912*(E111^2)-11.3794*E111+8482)*(10^(-4))</f>
        <v>0.84698294000000007</v>
      </c>
      <c r="F112" s="3054">
        <f t="shared" ref="F112:I112" si="33">(-0.7912*(F111^2)-11.3794*F111+8482)*(10^(-4))</f>
        <v>0.84698294000000007</v>
      </c>
      <c r="G112" s="3054">
        <f t="shared" si="33"/>
        <v>0.84698294000000007</v>
      </c>
      <c r="H112" s="3054">
        <f t="shared" si="33"/>
        <v>0.84698294000000007</v>
      </c>
      <c r="I112" s="3054">
        <f t="shared" si="33"/>
        <v>0.84698294000000007</v>
      </c>
      <c r="J112" s="3054">
        <f>(-0.989*(J111^2)-63.78*J111+7771)*(10^(-4))</f>
        <v>0.77062310000000001</v>
      </c>
      <c r="K112" s="3054">
        <f t="shared" ref="K112:N112" si="34">(-0.989*(K111^2)-63.78*K111+7771)*(10^(-4))</f>
        <v>0.77062310000000001</v>
      </c>
      <c r="L112" s="3054">
        <f t="shared" si="34"/>
        <v>0.77062310000000001</v>
      </c>
      <c r="M112" s="3054">
        <f t="shared" si="34"/>
        <v>0.77062310000000001</v>
      </c>
      <c r="N112" s="3054">
        <f t="shared" si="34"/>
        <v>0.77062310000000001</v>
      </c>
    </row>
    <row r="113" spans="1:14">
      <c r="A113" s="3444" t="s">
        <v>3309</v>
      </c>
      <c r="B113" s="3444"/>
      <c r="C113" s="3444"/>
      <c r="D113" s="3444"/>
      <c r="E113" s="3444"/>
      <c r="F113" s="3444"/>
      <c r="G113" s="3444"/>
      <c r="H113" s="3444"/>
      <c r="I113" s="3444"/>
      <c r="J113" s="3444"/>
      <c r="K113" s="3061"/>
      <c r="L113" s="3061"/>
      <c r="M113" s="3061"/>
      <c r="N113" s="3061"/>
    </row>
    <row r="114" spans="1:14">
      <c r="A114" s="3062"/>
      <c r="B114" s="3062"/>
      <c r="C114" s="3062"/>
      <c r="D114" s="3062"/>
      <c r="E114" s="3062"/>
      <c r="F114" s="3062"/>
      <c r="G114" s="3062"/>
      <c r="H114" s="3062"/>
      <c r="I114" s="3062"/>
      <c r="J114" s="3062"/>
      <c r="K114" s="1961"/>
      <c r="L114" s="3062"/>
      <c r="M114" s="3062"/>
      <c r="N114" s="3062"/>
    </row>
    <row r="115" spans="1:14" ht="13.5" thickBot="1">
      <c r="A115" s="3062"/>
      <c r="B115" s="3062"/>
      <c r="C115" s="3062"/>
      <c r="D115" s="3062"/>
      <c r="E115" s="3062"/>
      <c r="F115" s="3062"/>
      <c r="G115" s="3062"/>
      <c r="H115" s="3062"/>
      <c r="I115" s="3062"/>
      <c r="J115" s="3062"/>
      <c r="K115" s="1961"/>
      <c r="L115" s="3062"/>
      <c r="M115" s="3062"/>
      <c r="N115" s="3062"/>
    </row>
    <row r="116" spans="1:14" ht="25.5" thickBot="1">
      <c r="A116" s="3063" t="s">
        <v>3310</v>
      </c>
      <c r="B116" s="3079">
        <f>G3</f>
        <v>5.94</v>
      </c>
      <c r="C116" s="3064" t="s">
        <v>3311</v>
      </c>
      <c r="D116" s="3065">
        <f>SUMPRODUCT((A118:A122=F116)*(B117:M117=H116)*B118:M122)</f>
        <v>0.92649999999999999</v>
      </c>
      <c r="E116" s="162" t="s">
        <v>1936</v>
      </c>
      <c r="F116" s="3066" t="str">
        <f>E2</f>
        <v>办公</v>
      </c>
      <c r="G116" s="162" t="s">
        <v>1937</v>
      </c>
      <c r="H116" s="3066" t="str">
        <f>G2</f>
        <v>二级</v>
      </c>
      <c r="I116" s="162"/>
      <c r="J116" s="3067"/>
      <c r="K116" s="3067"/>
      <c r="L116" s="3067"/>
      <c r="M116" s="3067"/>
      <c r="N116" s="3062"/>
    </row>
    <row r="117" spans="1:14">
      <c r="A117" s="3068"/>
      <c r="B117" s="3069" t="s">
        <v>3314</v>
      </c>
      <c r="C117" s="3069" t="s">
        <v>3315</v>
      </c>
      <c r="D117" s="3069" t="s">
        <v>3316</v>
      </c>
      <c r="E117" s="3070" t="s">
        <v>3317</v>
      </c>
      <c r="F117" s="3070" t="s">
        <v>3318</v>
      </c>
      <c r="G117" s="3070" t="s">
        <v>3319</v>
      </c>
      <c r="H117" s="3071" t="s">
        <v>3320</v>
      </c>
      <c r="I117" s="3071" t="s">
        <v>3321</v>
      </c>
      <c r="J117" s="3072" t="s">
        <v>3322</v>
      </c>
      <c r="K117" s="3072" t="s">
        <v>3323</v>
      </c>
      <c r="L117" s="3072" t="s">
        <v>3324</v>
      </c>
      <c r="M117" s="3073" t="s">
        <v>3325</v>
      </c>
      <c r="N117" s="3062"/>
    </row>
    <row r="118" spans="1:14">
      <c r="A118" s="3022" t="s">
        <v>1990</v>
      </c>
      <c r="B118" s="3054">
        <f>ROUND(0.9968-0.011*B116,4)</f>
        <v>0.93149999999999999</v>
      </c>
      <c r="C118" s="3054">
        <f>B118</f>
        <v>0.93149999999999999</v>
      </c>
      <c r="D118" s="3054">
        <f>ROUND(0.949-0.014*B116,4)</f>
        <v>0.86580000000000001</v>
      </c>
      <c r="E118" s="3054">
        <f>D118</f>
        <v>0.86580000000000001</v>
      </c>
      <c r="F118" s="3054">
        <f>E118</f>
        <v>0.86580000000000001</v>
      </c>
      <c r="G118" s="3054">
        <f>F118</f>
        <v>0.86580000000000001</v>
      </c>
      <c r="H118" s="3054">
        <f>G118</f>
        <v>0.86580000000000001</v>
      </c>
      <c r="I118" s="3054">
        <f>ROUND(0.8486-0.018*B116,4)</f>
        <v>0.74170000000000003</v>
      </c>
      <c r="J118" s="3054">
        <f t="shared" ref="J118:M122" si="35">I118</f>
        <v>0.74170000000000003</v>
      </c>
      <c r="K118" s="3054">
        <f t="shared" si="35"/>
        <v>0.74170000000000003</v>
      </c>
      <c r="L118" s="3054">
        <f t="shared" si="35"/>
        <v>0.74170000000000003</v>
      </c>
      <c r="M118" s="3074">
        <f t="shared" si="35"/>
        <v>0.74170000000000003</v>
      </c>
      <c r="N118" s="3062"/>
    </row>
    <row r="119" spans="1:14">
      <c r="A119" s="3022" t="s">
        <v>1991</v>
      </c>
      <c r="B119" s="3054">
        <f>ROUND(0.993-0.0112*B116,4)</f>
        <v>0.92649999999999999</v>
      </c>
      <c r="C119" s="3054">
        <f>B119</f>
        <v>0.92649999999999999</v>
      </c>
      <c r="D119" s="3054">
        <f>ROUND(0.9415-0.0142*B116,4)</f>
        <v>0.85719999999999996</v>
      </c>
      <c r="E119" s="3054">
        <f t="shared" ref="E119:H120" si="36">D119</f>
        <v>0.85719999999999996</v>
      </c>
      <c r="F119" s="3054">
        <f t="shared" si="36"/>
        <v>0.85719999999999996</v>
      </c>
      <c r="G119" s="3054">
        <f t="shared" si="36"/>
        <v>0.85719999999999996</v>
      </c>
      <c r="H119" s="3054">
        <f t="shared" si="36"/>
        <v>0.85719999999999996</v>
      </c>
      <c r="I119" s="3054">
        <f>ROUND(0.838-0.0182*B116,4)</f>
        <v>0.72989999999999999</v>
      </c>
      <c r="J119" s="3054">
        <f t="shared" si="35"/>
        <v>0.72989999999999999</v>
      </c>
      <c r="K119" s="3054">
        <f t="shared" si="35"/>
        <v>0.72989999999999999</v>
      </c>
      <c r="L119" s="3054">
        <f t="shared" si="35"/>
        <v>0.72989999999999999</v>
      </c>
      <c r="M119" s="3074">
        <f t="shared" si="35"/>
        <v>0.72989999999999999</v>
      </c>
      <c r="N119" s="3062"/>
    </row>
    <row r="120" spans="1:14">
      <c r="A120" s="3022" t="s">
        <v>1992</v>
      </c>
      <c r="B120" s="3054">
        <f>ROUND(0.9448-0.0115*B116,4)</f>
        <v>0.87649999999999995</v>
      </c>
      <c r="C120" s="3054">
        <f>B120</f>
        <v>0.87649999999999995</v>
      </c>
      <c r="D120" s="3054">
        <f>ROUND(0.937-0.0145*B116,4)</f>
        <v>0.85089999999999999</v>
      </c>
      <c r="E120" s="3054">
        <f t="shared" si="36"/>
        <v>0.85089999999999999</v>
      </c>
      <c r="F120" s="3054">
        <f t="shared" si="36"/>
        <v>0.85089999999999999</v>
      </c>
      <c r="G120" s="3054">
        <f t="shared" si="36"/>
        <v>0.85089999999999999</v>
      </c>
      <c r="H120" s="3054">
        <f t="shared" si="36"/>
        <v>0.85089999999999999</v>
      </c>
      <c r="I120" s="3054">
        <f>ROUND(0.7965-0.0185*B116,4)</f>
        <v>0.68659999999999999</v>
      </c>
      <c r="J120" s="3054">
        <f t="shared" si="35"/>
        <v>0.68659999999999999</v>
      </c>
      <c r="K120" s="3054">
        <f t="shared" si="35"/>
        <v>0.68659999999999999</v>
      </c>
      <c r="L120" s="3054">
        <f t="shared" si="35"/>
        <v>0.68659999999999999</v>
      </c>
      <c r="M120" s="3074">
        <f t="shared" si="35"/>
        <v>0.68659999999999999</v>
      </c>
      <c r="N120" s="3062"/>
    </row>
    <row r="121" spans="1:14" ht="13.5" thickBot="1">
      <c r="A121" s="3075" t="s">
        <v>1993</v>
      </c>
      <c r="B121" s="3076">
        <f>ROUND(0.7836-0.012*B116,4)</f>
        <v>0.71230000000000004</v>
      </c>
      <c r="C121" s="3076">
        <f>B121</f>
        <v>0.71230000000000004</v>
      </c>
      <c r="D121" s="3076">
        <f>ROUND(0.753-0.015*B116,4)</f>
        <v>0.66390000000000005</v>
      </c>
      <c r="E121" s="3076">
        <f>D121</f>
        <v>0.66390000000000005</v>
      </c>
      <c r="F121" s="3076">
        <f>E121</f>
        <v>0.66390000000000005</v>
      </c>
      <c r="G121" s="3076">
        <f>ROUND(0.6612-0.018*B116,4)</f>
        <v>0.55430000000000001</v>
      </c>
      <c r="H121" s="3076">
        <f>G121</f>
        <v>0.55430000000000001</v>
      </c>
      <c r="I121" s="3076">
        <f>ROUND(0.5905-0.019*B116,4)</f>
        <v>0.47760000000000002</v>
      </c>
      <c r="J121" s="3076">
        <f t="shared" si="35"/>
        <v>0.47760000000000002</v>
      </c>
      <c r="K121" s="3076">
        <f t="shared" si="35"/>
        <v>0.47760000000000002</v>
      </c>
      <c r="L121" s="3076">
        <f t="shared" si="35"/>
        <v>0.47760000000000002</v>
      </c>
      <c r="M121" s="3077">
        <f t="shared" si="35"/>
        <v>0.47760000000000002</v>
      </c>
      <c r="N121" s="3062"/>
    </row>
    <row r="122" spans="1:14">
      <c r="A122" s="3078" t="s">
        <v>2610</v>
      </c>
      <c r="B122" s="3054">
        <f>ROUND(0.9404-0.0106*B116,4)</f>
        <v>0.87739999999999996</v>
      </c>
      <c r="C122" s="3054">
        <f>B122</f>
        <v>0.87739999999999996</v>
      </c>
      <c r="D122" s="3054">
        <f>ROUND(0.8955-0.0135*B116,4)</f>
        <v>0.81530000000000002</v>
      </c>
      <c r="E122" s="3054">
        <f t="shared" ref="E122:H122" si="37">D122</f>
        <v>0.81530000000000002</v>
      </c>
      <c r="F122" s="3054">
        <f t="shared" si="37"/>
        <v>0.81530000000000002</v>
      </c>
      <c r="G122" s="3054">
        <f t="shared" si="37"/>
        <v>0.81530000000000002</v>
      </c>
      <c r="H122" s="3054">
        <f t="shared" si="37"/>
        <v>0.81530000000000002</v>
      </c>
      <c r="I122" s="3054">
        <f>ROUND(0.7632-0.0166*B116,4)</f>
        <v>0.66459999999999997</v>
      </c>
      <c r="J122" s="3054">
        <f t="shared" si="35"/>
        <v>0.66459999999999997</v>
      </c>
      <c r="K122" s="3054">
        <f t="shared" si="35"/>
        <v>0.66459999999999997</v>
      </c>
      <c r="L122" s="3054">
        <f t="shared" si="35"/>
        <v>0.66459999999999997</v>
      </c>
      <c r="M122" s="3074">
        <f t="shared" si="35"/>
        <v>0.66459999999999997</v>
      </c>
      <c r="N122" s="306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087">
        <f ca="1">ROUND(IF(D2="——",C52/10000,C52/10000-E2),4)</f>
        <v>105643.70110000001</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12521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16874620</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16874620</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16874620</v>
      </c>
      <c r="D19" s="204">
        <f ca="1">D9+D10</f>
        <v>84373.10000000002</v>
      </c>
      <c r="E19" s="203">
        <f>'数据-取费表'!B31</f>
        <v>200</v>
      </c>
      <c r="F19" s="223"/>
      <c r="G19" s="1711"/>
    </row>
    <row r="20" spans="1:7" s="206" customFormat="1" ht="13.5" customHeight="1">
      <c r="A20" s="247" t="s">
        <v>1574</v>
      </c>
      <c r="B20" s="202" t="s">
        <v>1575</v>
      </c>
      <c r="C20" s="224">
        <f ca="1">ROUND((C5+C19)*F20,0)</f>
        <v>1012477</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3284427</v>
      </c>
      <c r="D22" s="227">
        <f ca="1">C26</f>
        <v>1.4E-3</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1618492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1618492</v>
      </c>
      <c r="D24" s="230"/>
      <c r="E24" s="230"/>
      <c r="F24" s="231"/>
      <c r="G24" s="232" t="s">
        <v>1586</v>
      </c>
    </row>
    <row r="25" spans="1:7" s="206" customFormat="1" ht="24">
      <c r="A25" s="731" t="s">
        <v>1476</v>
      </c>
      <c r="B25" s="207" t="s">
        <v>1587</v>
      </c>
      <c r="C25" s="230">
        <f ca="1">ROUND(IF('数据-取费表'!B22&lt;=1,C20*F22*'数据-取费表'!B22/2,C20*(POWER((1+F22),'数据-取费表'!B22/2)-1)),0)</f>
        <v>47443</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6952343</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6952343</v>
      </c>
      <c r="D28" s="227"/>
      <c r="E28" s="228"/>
      <c r="F28" s="238"/>
      <c r="G28" s="239"/>
    </row>
    <row r="29" spans="1:7" s="206" customFormat="1" ht="13.5" customHeight="1">
      <c r="A29" s="731"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49486954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712952695</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632798250</v>
      </c>
      <c r="D34" s="209"/>
      <c r="E34" s="212"/>
      <c r="F34" s="249"/>
      <c r="G34" s="211"/>
    </row>
    <row r="35" spans="1:7" ht="13.5" customHeight="1">
      <c r="A35" s="731" t="s">
        <v>351</v>
      </c>
      <c r="B35" s="207" t="s">
        <v>1527</v>
      </c>
      <c r="C35" s="212">
        <f ca="1">ROUND(C34*F35,0)</f>
        <v>50623860</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16874620</v>
      </c>
      <c r="D37" s="209">
        <f ca="1">D19</f>
        <v>84373.10000000002</v>
      </c>
      <c r="E37" s="241">
        <f>'数据-取费表'!B35</f>
        <v>200</v>
      </c>
      <c r="F37" s="251"/>
      <c r="G37" s="253"/>
    </row>
    <row r="38" spans="1:7" ht="13.5" customHeight="1">
      <c r="A38" s="731" t="s">
        <v>354</v>
      </c>
      <c r="B38" s="207" t="s">
        <v>1533</v>
      </c>
      <c r="C38" s="212">
        <f ca="1">ROUND(C34*F38,0)</f>
        <v>12655965</v>
      </c>
      <c r="D38" s="212"/>
      <c r="E38" s="212"/>
      <c r="F38" s="251">
        <f>'数据-取费表'!B36</f>
        <v>0.02</v>
      </c>
      <c r="G38" s="211" t="s">
        <v>1528</v>
      </c>
    </row>
    <row r="39" spans="1:7" s="206" customFormat="1" ht="13.5" customHeight="1">
      <c r="A39" s="247" t="s">
        <v>1534</v>
      </c>
      <c r="B39" s="202" t="s">
        <v>1535</v>
      </c>
      <c r="C39" s="224">
        <f ca="1">ROUND(C33*F20,0)</f>
        <v>21388581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34410156</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33407918</v>
      </c>
      <c r="D42" s="230"/>
      <c r="E42" s="230"/>
      <c r="F42" s="231"/>
      <c r="G42" s="3438" t="s">
        <v>1591</v>
      </c>
    </row>
    <row r="43" spans="1:7" ht="13.5" customHeight="1">
      <c r="A43" s="731" t="s">
        <v>347</v>
      </c>
      <c r="B43" s="207" t="s">
        <v>1545</v>
      </c>
      <c r="C43" s="230">
        <f ca="1">ROUND(IF('数据-取费表'!B22&lt;=1,C39*F22*'数据-取费表'!B20/2,C39*(POWER((1+F22),'数据-取费表'!B20/2)-1)),0)</f>
        <v>1002238</v>
      </c>
      <c r="D43" s="230"/>
      <c r="E43" s="230"/>
      <c r="F43" s="231"/>
      <c r="G43" s="3439"/>
    </row>
    <row r="44" spans="1:7" ht="13.5" customHeight="1">
      <c r="A44" s="731" t="s">
        <v>348</v>
      </c>
      <c r="B44" s="207" t="s">
        <v>1546</v>
      </c>
      <c r="C44" s="230">
        <f ca="1">ROUND(IF('数据-取费表'!B22&lt;=1,C40*F22*'数据-取费表'!B20/2,C40*(POWER((1+F22),'数据-取费表'!B20/2)-1)),4)</f>
        <v>1.4E-3</v>
      </c>
      <c r="D44" s="230"/>
      <c r="E44" s="230"/>
      <c r="F44" s="231"/>
      <c r="G44" s="3440"/>
    </row>
    <row r="45" spans="1:7" s="206" customFormat="1" ht="13.5" customHeight="1">
      <c r="A45" s="247" t="s">
        <v>1547</v>
      </c>
      <c r="B45" s="236" t="s">
        <v>1513</v>
      </c>
      <c r="C45" s="237">
        <f ca="1">C46</f>
        <v>146868255</v>
      </c>
      <c r="D45" s="227">
        <f ca="1">C47</f>
        <v>6.0000000000000001E-3</v>
      </c>
      <c r="E45" s="228" t="s">
        <v>1539</v>
      </c>
      <c r="F45" s="238">
        <f ca="1">F27</f>
        <v>0.2</v>
      </c>
      <c r="G45" s="239" t="s">
        <v>1548</v>
      </c>
    </row>
    <row r="46" spans="1:7" s="206" customFormat="1" ht="13.5" customHeight="1">
      <c r="A46" s="731" t="s">
        <v>346</v>
      </c>
      <c r="B46" s="240" t="s">
        <v>1549</v>
      </c>
      <c r="C46" s="241">
        <f ca="1">ROUND((C33+C39)*F27,0)</f>
        <v>146868255</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1006950057</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1006950057</v>
      </c>
      <c r="D51" s="224"/>
      <c r="E51" s="224"/>
      <c r="F51" s="256"/>
      <c r="G51" s="226" t="s">
        <v>1560</v>
      </c>
    </row>
    <row r="52" spans="1:7" s="200" customFormat="1" ht="16.5" thickBot="1">
      <c r="A52" s="257" t="s">
        <v>1561</v>
      </c>
      <c r="B52" s="258"/>
      <c r="C52" s="259">
        <f ca="1">C31+C51</f>
        <v>1056437011</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1"/>
      <c r="F1" s="2561"/>
      <c r="G1" s="2442"/>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84373.10000000002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84373.10000000002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3"/>
      <c r="G1" s="459"/>
      <c r="H1" s="459"/>
      <c r="I1" s="459"/>
      <c r="J1" s="459"/>
      <c r="K1" s="459"/>
      <c r="L1" s="459"/>
      <c r="M1" s="459"/>
      <c r="N1" s="459"/>
      <c r="O1" s="459"/>
      <c r="P1" s="459"/>
      <c r="Q1" s="459"/>
      <c r="R1" s="459"/>
      <c r="S1" s="459"/>
    </row>
    <row r="2" spans="1:22" ht="15.75">
      <c r="A2" s="1725" t="s">
        <v>1462</v>
      </c>
      <c r="B2" s="808">
        <f ca="1">SUMIF(B6:B13,"&lt;&gt;#ref!",B6:B13)</f>
        <v>437781</v>
      </c>
      <c r="C2" s="1726" t="s">
        <v>1651</v>
      </c>
      <c r="D2" s="1727" t="s">
        <v>1652</v>
      </c>
      <c r="E2" s="2387">
        <f>SUM(E6:E13)</f>
        <v>84373.1</v>
      </c>
      <c r="F2" s="2473"/>
      <c r="G2" s="459"/>
      <c r="H2" s="459"/>
      <c r="I2" s="459"/>
      <c r="J2" s="459"/>
      <c r="K2" s="459"/>
      <c r="L2" s="459"/>
      <c r="M2" s="459"/>
      <c r="N2" s="459"/>
      <c r="O2" s="459"/>
      <c r="P2" s="459"/>
      <c r="Q2" s="459"/>
      <c r="R2" s="459"/>
      <c r="S2" s="459"/>
    </row>
    <row r="3" spans="1:22" ht="15.75">
      <c r="A3" s="1725" t="s">
        <v>686</v>
      </c>
      <c r="B3" s="2381">
        <f ca="1">ROUND(B2*10000/E2,0)</f>
        <v>51886</v>
      </c>
      <c r="C3" s="1726" t="s">
        <v>1659</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3" t="s">
        <v>1653</v>
      </c>
      <c r="B5" s="3460" t="s">
        <v>1654</v>
      </c>
      <c r="C5" s="3461"/>
      <c r="D5" s="2474"/>
      <c r="E5" s="1728" t="s">
        <v>1655</v>
      </c>
      <c r="F5" s="129" t="s">
        <v>1656</v>
      </c>
      <c r="G5" s="459"/>
      <c r="H5" s="459"/>
      <c r="I5" s="459"/>
      <c r="J5" s="459"/>
      <c r="K5" s="459"/>
      <c r="L5" s="459"/>
      <c r="M5" s="459"/>
      <c r="N5" s="459"/>
      <c r="O5" s="459"/>
      <c r="P5" s="459"/>
      <c r="Q5" s="459"/>
      <c r="R5" s="459"/>
      <c r="S5" s="459"/>
    </row>
    <row r="6" spans="1:22">
      <c r="A6" s="2384" t="str">
        <f>'数据-取费表'!AN6</f>
        <v>收益法</v>
      </c>
      <c r="B6" s="2382">
        <f ca="1">IF(F6="是",'数据-取费表'!AO6,0)</f>
        <v>173834</v>
      </c>
      <c r="C6" s="1726" t="s">
        <v>1651</v>
      </c>
      <c r="D6" s="2473"/>
      <c r="E6" s="2386">
        <f>IF(OR(A6=0,F6="否"),0,'数据-取费表'!K6+'数据-取费表'!S6)</f>
        <v>34471.17</v>
      </c>
      <c r="F6" s="1729" t="s">
        <v>1657</v>
      </c>
      <c r="G6" s="459"/>
      <c r="H6" s="459"/>
      <c r="I6" s="459"/>
      <c r="J6" s="459"/>
      <c r="K6" s="459"/>
      <c r="L6" s="459"/>
      <c r="M6" s="459"/>
      <c r="N6" s="459"/>
      <c r="O6" s="459"/>
      <c r="P6" s="459"/>
      <c r="Q6" s="459"/>
      <c r="R6" s="459"/>
      <c r="S6" s="459"/>
    </row>
    <row r="7" spans="1:22">
      <c r="A7" s="2384" t="str">
        <f>'数据-取费表'!AN7</f>
        <v>收益法办</v>
      </c>
      <c r="B7" s="2382">
        <f ca="1">IF(F7="是",'数据-取费表'!AO7,0)</f>
        <v>253604</v>
      </c>
      <c r="C7" s="1726" t="s">
        <v>1651</v>
      </c>
      <c r="D7" s="2473"/>
      <c r="E7" s="2386">
        <f>IF(OR(A7=0,F7="否"),0,'数据-取费表'!K7+'数据-取费表'!S7)</f>
        <v>35300.840000000011</v>
      </c>
      <c r="F7" s="1729" t="s">
        <v>1657</v>
      </c>
      <c r="G7" s="459"/>
      <c r="H7" s="459"/>
      <c r="I7" s="459"/>
      <c r="J7" s="459"/>
      <c r="K7" s="459"/>
      <c r="L7" s="459"/>
      <c r="M7" s="459"/>
      <c r="N7" s="459"/>
      <c r="O7" s="459"/>
      <c r="P7" s="459"/>
      <c r="Q7" s="459"/>
      <c r="R7" s="459"/>
      <c r="S7" s="459"/>
    </row>
    <row r="8" spans="1:22">
      <c r="A8" s="2384" t="str">
        <f>'数据-取费表'!AN8</f>
        <v>收益法车</v>
      </c>
      <c r="B8" s="2382">
        <f ca="1">IF(F8="是",'数据-取费表'!AO8,0)</f>
        <v>10343</v>
      </c>
      <c r="C8" s="1726" t="s">
        <v>1651</v>
      </c>
      <c r="D8" s="2473"/>
      <c r="E8" s="2386">
        <f>IF(OR(A8=0,F8="否"),0,'数据-取费表'!K8+'数据-取费表'!S8)</f>
        <v>14601.09</v>
      </c>
      <c r="F8" s="1729" t="s">
        <v>1657</v>
      </c>
      <c r="G8" s="459"/>
      <c r="H8" s="459"/>
      <c r="I8" s="459"/>
      <c r="J8" s="459"/>
      <c r="K8" s="459"/>
      <c r="L8" s="459"/>
      <c r="M8" s="459"/>
      <c r="N8" s="459"/>
      <c r="O8" s="459"/>
      <c r="P8" s="459"/>
      <c r="Q8" s="459"/>
      <c r="R8" s="459"/>
      <c r="S8" s="459"/>
    </row>
    <row r="9" spans="1:22">
      <c r="A9" s="2384">
        <f>'数据-取费表'!AN9</f>
        <v>0</v>
      </c>
      <c r="B9" s="2382" t="e">
        <f ca="1">IF(F9="是",'数据-取费表'!AO9,0)</f>
        <v>#REF!</v>
      </c>
      <c r="C9" s="1726" t="s">
        <v>1651</v>
      </c>
      <c r="D9" s="2473"/>
      <c r="E9" s="2386">
        <f>IF(OR(A9=0,F9="否"),0,'数据-取费表'!K9+'数据-取费表'!S9)</f>
        <v>0</v>
      </c>
      <c r="F9" s="1729" t="s">
        <v>1657</v>
      </c>
      <c r="G9" s="459"/>
      <c r="H9" s="459"/>
      <c r="I9" s="459"/>
      <c r="J9" s="459"/>
      <c r="K9" s="459"/>
      <c r="L9" s="459"/>
      <c r="M9" s="459"/>
      <c r="N9" s="459"/>
      <c r="O9" s="459"/>
      <c r="P9" s="459"/>
      <c r="Q9" s="459"/>
      <c r="R9" s="459"/>
      <c r="S9" s="459"/>
    </row>
    <row r="10" spans="1:22">
      <c r="A10" s="2384">
        <f>'数据-取费表'!AN10</f>
        <v>0</v>
      </c>
      <c r="B10" s="2382" t="e">
        <f ca="1">IF(F10="是",'数据-取费表'!AO10,0)</f>
        <v>#REF!</v>
      </c>
      <c r="C10" s="1726" t="s">
        <v>1651</v>
      </c>
      <c r="D10" s="2473"/>
      <c r="E10" s="2386">
        <f>IF(OR(A10=0,F10="否"),0,'数据-取费表'!K10+'数据-取费表'!S10)</f>
        <v>0</v>
      </c>
      <c r="F10" s="1729" t="s">
        <v>1657</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6" t="s">
        <v>1651</v>
      </c>
      <c r="D11" s="2473"/>
      <c r="E11" s="2386">
        <f>IF(OR(A11=0,F11="否"),0,'数据-取费表'!K11+'数据-取费表'!S11)</f>
        <v>0</v>
      </c>
      <c r="F11" s="1729" t="s">
        <v>1657</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6" t="s">
        <v>1651</v>
      </c>
      <c r="D12" s="2473"/>
      <c r="E12" s="2386">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B13" zoomScale="85" zoomScaleNormal="70" zoomScaleSheetLayoutView="85" workbookViewId="0">
      <selection activeCell="C13" sqref="C13:C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673</v>
      </c>
      <c r="D1" s="1268" t="s">
        <v>43</v>
      </c>
      <c r="E1" s="1269" t="s">
        <v>678</v>
      </c>
      <c r="F1" s="996">
        <f ca="1">J53</f>
        <v>19.739999999999998</v>
      </c>
      <c r="G1" s="1283">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173834</v>
      </c>
      <c r="C2" s="1286" t="s">
        <v>805</v>
      </c>
      <c r="D2" s="1286"/>
      <c r="E2" s="1292"/>
      <c r="F2" s="1293"/>
      <c r="G2" s="2472"/>
      <c r="H2" s="2462"/>
      <c r="I2" s="2462"/>
      <c r="J2" s="2462"/>
      <c r="K2" s="2463"/>
      <c r="L2" s="2462"/>
      <c r="M2" s="2462"/>
    </row>
    <row r="3" spans="1:37" ht="18" customHeight="1" thickBot="1">
      <c r="A3" s="1294" t="s">
        <v>806</v>
      </c>
      <c r="B3" s="1295">
        <f ca="1">IF(ISERROR(B2*10000/F43),0,ROUND(B2*10000/F43,0))</f>
        <v>50429</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13606</v>
      </c>
      <c r="D5" s="1270" t="s">
        <v>693</v>
      </c>
      <c r="E5" s="1005"/>
      <c r="F5" s="1006"/>
      <c r="G5" s="1289"/>
      <c r="H5" s="291">
        <v>1</v>
      </c>
      <c r="I5" s="292" t="s">
        <v>692</v>
      </c>
      <c r="J5" s="1004">
        <f ca="1">J6+J10+J12</f>
        <v>0</v>
      </c>
      <c r="K5" s="1270" t="s">
        <v>693</v>
      </c>
      <c r="L5" s="1005"/>
      <c r="M5" s="1006"/>
    </row>
    <row r="6" spans="1:37" ht="18" customHeight="1">
      <c r="A6" s="1003" t="s">
        <v>398</v>
      </c>
      <c r="B6" s="3464" t="s">
        <v>694</v>
      </c>
      <c r="C6" s="1008">
        <f ca="1">ROUND(F6*F8*F7*(1-F9)/10000,0)</f>
        <v>13589</v>
      </c>
      <c r="D6" s="147" t="s">
        <v>2109</v>
      </c>
      <c r="E6" s="294" t="s">
        <v>696</v>
      </c>
      <c r="F6" s="295">
        <f ca="1">INDIRECT("'数据-取费表'!u"&amp;$G$1)</f>
        <v>12</v>
      </c>
      <c r="G6" s="1289"/>
      <c r="H6" s="1003" t="s">
        <v>398</v>
      </c>
      <c r="I6" s="3464" t="s">
        <v>694</v>
      </c>
      <c r="J6" s="293">
        <f ca="1">ROUND(M6*M8*M7*(1-M9)/10000,0)</f>
        <v>0</v>
      </c>
      <c r="K6" s="147" t="s">
        <v>2108</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34471.17</v>
      </c>
      <c r="G7" s="1289"/>
      <c r="H7" s="296"/>
      <c r="I7" s="3465"/>
      <c r="J7" s="298"/>
      <c r="K7" s="299"/>
      <c r="L7" s="294" t="s">
        <v>697</v>
      </c>
      <c r="M7" s="295">
        <f ca="1">F7</f>
        <v>34471.17</v>
      </c>
    </row>
    <row r="8" spans="1:37" ht="18" customHeight="1">
      <c r="A8" s="296"/>
      <c r="B8" s="3465"/>
      <c r="C8" s="298"/>
      <c r="D8" s="299"/>
      <c r="E8" s="294" t="s">
        <v>698</v>
      </c>
      <c r="F8" s="295">
        <f ca="1">INDIRECT("'数据-取费表'!ai"&amp;$G$1)</f>
        <v>365</v>
      </c>
      <c r="G8" s="1289"/>
      <c r="H8" s="296"/>
      <c r="I8" s="3465"/>
      <c r="J8" s="298"/>
      <c r="K8" s="299"/>
      <c r="L8" s="294" t="s">
        <v>698</v>
      </c>
      <c r="M8" s="295">
        <f ca="1">INDIRECT("'数据-取费表'!ai"&amp;$G$1)</f>
        <v>365</v>
      </c>
    </row>
    <row r="9" spans="1:37" ht="18" customHeight="1">
      <c r="A9" s="296"/>
      <c r="B9" s="3466"/>
      <c r="C9" s="298"/>
      <c r="D9" s="299"/>
      <c r="E9" s="294" t="s">
        <v>699</v>
      </c>
      <c r="F9" s="304">
        <f ca="1">INDIRECT("'数据-取费表'!w"&amp;$G$1)</f>
        <v>0.1</v>
      </c>
      <c r="G9" s="1289"/>
      <c r="H9" s="296"/>
      <c r="I9" s="3466"/>
      <c r="J9" s="298"/>
      <c r="K9" s="299"/>
      <c r="L9" s="305" t="s">
        <v>699</v>
      </c>
      <c r="M9" s="306">
        <f ca="1">INDIRECT("'数据-取费表'!ab"&amp;$G$1)</f>
        <v>0</v>
      </c>
    </row>
    <row r="10" spans="1:37" ht="18" customHeight="1">
      <c r="A10" s="1003" t="s">
        <v>402</v>
      </c>
      <c r="B10" s="1271" t="s">
        <v>700</v>
      </c>
      <c r="C10" s="308">
        <f ca="1">ROUND(IF(F10="押一",C6/12*F11,IF(F10="押二",C6/12*2*F11,IF(F10="押三",C6/12*3*F11,C11*F11))),0)</f>
        <v>17</v>
      </c>
      <c r="D10" s="150" t="s">
        <v>2117</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42859</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25853</v>
      </c>
      <c r="D14" s="1254" t="s">
        <v>708</v>
      </c>
      <c r="E14" s="1252"/>
      <c r="F14" s="311"/>
      <c r="G14" s="1289"/>
      <c r="H14" s="925" t="s">
        <v>398</v>
      </c>
      <c r="I14" s="294" t="s">
        <v>709</v>
      </c>
      <c r="J14" s="21">
        <f ca="1">C29</f>
        <v>42859</v>
      </c>
      <c r="K14" s="12"/>
      <c r="L14" s="756"/>
      <c r="M14" s="757"/>
    </row>
    <row r="15" spans="1:37" s="1301" customFormat="1" ht="18" customHeight="1" thickBot="1">
      <c r="A15" s="925" t="s">
        <v>399</v>
      </c>
      <c r="B15" s="294" t="s">
        <v>710</v>
      </c>
      <c r="C15" s="21">
        <f ca="1">ROUND(C14*F15,0)</f>
        <v>2068</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139</v>
      </c>
      <c r="K16" s="1021" t="s">
        <v>715</v>
      </c>
      <c r="L16" s="1022"/>
      <c r="M16" s="1006"/>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6">
        <f ca="1">ROUND(IF(AND(项目基本情况!B11="自然人",项目基本情况!B10="北京市"),J6*M17/(1+'数据-取费表'!C42),J18+J19+J20),2)</f>
        <v>10.39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517</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29127</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874</v>
      </c>
      <c r="D20" s="315" t="s">
        <v>729</v>
      </c>
      <c r="E20" s="294" t="s">
        <v>712</v>
      </c>
      <c r="F20" s="314">
        <f>'数据-取费表'!B37</f>
        <v>0.03</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128.58000000000001</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1406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-139</v>
      </c>
      <c r="K25" s="1029" t="s">
        <v>753</v>
      </c>
      <c r="L25" s="1030"/>
      <c r="M25" s="1031"/>
    </row>
    <row r="26" spans="1:37">
      <c r="A26" s="925" t="s">
        <v>397</v>
      </c>
      <c r="B26" s="294" t="s">
        <v>754</v>
      </c>
      <c r="C26" s="21">
        <f ca="1">ROUND((C19+C20)*F26,0)</f>
        <v>7500</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7.4999999999999997E-3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42859</v>
      </c>
      <c r="D29" s="1026"/>
      <c r="E29" s="1024"/>
      <c r="F29" s="1027"/>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2528</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2288.17</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724.75</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1553.03</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10.39</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4327.3900000000003</v>
      </c>
      <c r="G35" s="1289"/>
      <c r="H35" s="2464"/>
      <c r="I35" s="1302"/>
      <c r="J35" s="1303"/>
      <c r="K35" s="2468"/>
      <c r="L35" s="2467"/>
      <c r="M35" s="2467"/>
    </row>
    <row r="36" spans="1:18" ht="18" customHeight="1">
      <c r="A36" s="1036" t="s">
        <v>402</v>
      </c>
      <c r="B36" s="294" t="s">
        <v>738</v>
      </c>
      <c r="C36" s="21">
        <f ca="1">ROUND(C29*F36,2)</f>
        <v>128.58000000000001</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42.86</v>
      </c>
      <c r="D37" s="1253" t="s">
        <v>743</v>
      </c>
      <c r="E37" s="294" t="s">
        <v>744</v>
      </c>
      <c r="F37" s="321">
        <f ca="1">INDIRECT("'数据-取费表'!Al"&amp;$G$1)</f>
        <v>1E-3</v>
      </c>
      <c r="G37" s="1289"/>
      <c r="H37" s="2467"/>
      <c r="I37" s="1302"/>
      <c r="J37" s="1303"/>
      <c r="K37" s="2325"/>
      <c r="L37" s="2467"/>
      <c r="M37" s="2467"/>
    </row>
    <row r="38" spans="1:18" ht="18" customHeight="1" thickBot="1">
      <c r="A38" s="1023" t="s">
        <v>684</v>
      </c>
      <c r="B38" s="1024" t="s">
        <v>728</v>
      </c>
      <c r="C38" s="1025">
        <f ca="1">ROUND(C5*F38,2)</f>
        <v>68.03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2">
        <f ca="1">C5-C30</f>
        <v>11078</v>
      </c>
      <c r="D39" s="1029" t="s">
        <v>773</v>
      </c>
      <c r="E39" s="1030"/>
      <c r="F39" s="1031"/>
      <c r="G39" s="1289"/>
      <c r="H39" s="2467"/>
      <c r="I39" s="1302"/>
      <c r="J39" s="1303"/>
      <c r="K39" s="2465"/>
      <c r="L39" s="2467"/>
      <c r="M39" s="2467"/>
    </row>
    <row r="40" spans="1:18" ht="18" customHeight="1">
      <c r="A40" s="291" t="s">
        <v>395</v>
      </c>
      <c r="B40" s="292" t="s">
        <v>774</v>
      </c>
      <c r="C40" s="293">
        <f ca="1">ROUND(C39*(1-((1+F42)/(1+F40))^F41)/(F40-F42),0)</f>
        <v>167110</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19.739999999999998</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48478</v>
      </c>
      <c r="D43" s="328" t="s">
        <v>777</v>
      </c>
      <c r="E43" s="329" t="s">
        <v>778</v>
      </c>
      <c r="F43" s="330">
        <f ca="1">INDIRECT("'数据-取费表'!k"&amp;$G$1)</f>
        <v>34471.17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-169257</v>
      </c>
      <c r="D46" s="1310" t="str">
        <f>C2</f>
        <v>万元</v>
      </c>
      <c r="E46" s="1304"/>
      <c r="F46" s="1304"/>
      <c r="I46" s="1311" t="s">
        <v>810</v>
      </c>
      <c r="J46" s="1312"/>
      <c r="K46" s="1313"/>
      <c r="L46" s="1314">
        <f ca="1">IF(M47="住宅",0,IF(L48&gt;J51,L60,J60))</f>
        <v>6724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40</v>
      </c>
      <c r="M47" s="1285" t="str">
        <f>IF(ISNUMBER(FIND("住宅",C1)),"住宅","非住宅")</f>
        <v>非住宅</v>
      </c>
      <c r="O47" s="1322" t="s">
        <v>403</v>
      </c>
      <c r="P47" s="1323" t="s">
        <v>817</v>
      </c>
      <c r="Q47" s="1324">
        <f ca="1">C40+J29</f>
        <v>167110</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19.739999999999998</v>
      </c>
      <c r="O48" s="1322" t="s">
        <v>404</v>
      </c>
      <c r="P48" s="1323" t="s">
        <v>821</v>
      </c>
      <c r="Q48" s="1324">
        <f ca="1">J60</f>
        <v>6724</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2023</v>
      </c>
      <c r="K49" s="1327" t="s">
        <v>824</v>
      </c>
      <c r="L49" s="1330"/>
      <c r="O49" s="1331" t="s">
        <v>405</v>
      </c>
      <c r="P49" s="1323" t="s">
        <v>825</v>
      </c>
      <c r="Q49" s="1324">
        <f ca="1">C29</f>
        <v>42859</v>
      </c>
      <c r="R49" s="1324" t="s">
        <v>818</v>
      </c>
    </row>
    <row r="50" spans="1:18" s="1289" customFormat="1" ht="13.5" thickBot="1">
      <c r="A50" s="919"/>
      <c r="B50" s="922"/>
      <c r="C50" s="1052"/>
      <c r="D50" s="896"/>
      <c r="E50" s="990" t="s">
        <v>697</v>
      </c>
      <c r="F50" s="991">
        <f ca="1">F7</f>
        <v>34471.17</v>
      </c>
      <c r="H50" s="682"/>
      <c r="I50" s="1325" t="s">
        <v>826</v>
      </c>
      <c r="J50" s="1332">
        <f>SUMPRODUCT((I63:I65=J47)*(J62:L62=J48)*(J63:L65))</f>
        <v>60</v>
      </c>
      <c r="K50" s="1327" t="s">
        <v>827</v>
      </c>
      <c r="L50" s="1330"/>
      <c r="M50" s="1333"/>
      <c r="O50" s="1331" t="s">
        <v>406</v>
      </c>
      <c r="P50" s="1323" t="s">
        <v>828</v>
      </c>
      <c r="Q50" s="1334">
        <f ca="1">J58</f>
        <v>0.65400000000000003</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152476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19.739999999999998</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19.739999999999998</v>
      </c>
      <c r="K53" s="3462" t="s">
        <v>837</v>
      </c>
      <c r="L53" s="3463"/>
      <c r="O53" s="1322" t="s">
        <v>409</v>
      </c>
      <c r="P53" s="1323" t="s">
        <v>838</v>
      </c>
      <c r="Q53" s="1324">
        <f ca="1">Q47+Q48</f>
        <v>173834</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0.65400000000000003</v>
      </c>
      <c r="K55" s="1347" t="s">
        <v>841</v>
      </c>
      <c r="L55" s="1348"/>
      <c r="O55" s="1315" t="s">
        <v>811</v>
      </c>
      <c r="P55" s="1316" t="s">
        <v>812</v>
      </c>
      <c r="Q55" s="1317" t="s">
        <v>813</v>
      </c>
      <c r="R55" s="1317" t="s">
        <v>814</v>
      </c>
    </row>
    <row r="56" spans="1:18" s="1289" customFormat="1" ht="25.5" thickTop="1" thickBot="1">
      <c r="A56" s="900">
        <v>2</v>
      </c>
      <c r="B56" s="901" t="s">
        <v>704</v>
      </c>
      <c r="C56" s="224">
        <f ca="1">C13</f>
        <v>42859</v>
      </c>
      <c r="D56" s="1349"/>
      <c r="E56" s="1350"/>
      <c r="F56" s="1342"/>
      <c r="I56" s="1351" t="s">
        <v>842</v>
      </c>
      <c r="J56" s="1352" t="s">
        <v>3554</v>
      </c>
      <c r="K56" s="1325" t="s">
        <v>843</v>
      </c>
      <c r="L56" s="1328" t="str">
        <f ca="1">IF(L48&lt;J51,"——",L48-J53)</f>
        <v>——</v>
      </c>
      <c r="O56" s="1322" t="s">
        <v>403</v>
      </c>
      <c r="P56" s="1323" t="s">
        <v>817</v>
      </c>
      <c r="Q56" s="1324">
        <f ca="1">C40+J29</f>
        <v>167110</v>
      </c>
      <c r="R56" s="1324" t="s">
        <v>818</v>
      </c>
    </row>
    <row r="57" spans="1:18" s="1289" customFormat="1" ht="24.75" thickBot="1">
      <c r="A57" s="1353"/>
      <c r="B57" s="893" t="s">
        <v>767</v>
      </c>
      <c r="C57" s="230">
        <f ca="1">C29</f>
        <v>42859</v>
      </c>
      <c r="D57" s="1354"/>
      <c r="E57" s="1355"/>
      <c r="F57" s="1356"/>
      <c r="I57" s="1357" t="s">
        <v>844</v>
      </c>
      <c r="J57" s="1358">
        <f ca="1">IF(OR(M47="住宅",J51&lt;L48,J56="是"),"——",J51-L48)</f>
        <v>39.260000000000005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181</v>
      </c>
      <c r="D58" s="903" t="s">
        <v>715</v>
      </c>
      <c r="E58" s="904"/>
      <c r="F58" s="905"/>
      <c r="I58" s="1357" t="s">
        <v>848</v>
      </c>
      <c r="J58" s="1359">
        <f ca="1">IF(J55&lt;0.4,0.4,J55)</f>
        <v>0.65400000000000003</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28030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6724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167110</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128.58000000000001</v>
      </c>
      <c r="D64" s="907" t="s">
        <v>791</v>
      </c>
      <c r="E64" s="893" t="s">
        <v>783</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42.86</v>
      </c>
      <c r="D65" s="907" t="s">
        <v>743</v>
      </c>
      <c r="E65" s="893" t="s">
        <v>744</v>
      </c>
      <c r="F65" s="321">
        <f t="shared" ca="1" si="0"/>
        <v>1E-3</v>
      </c>
      <c r="I65" s="1364" t="s">
        <v>867</v>
      </c>
      <c r="J65" s="610">
        <v>40</v>
      </c>
      <c r="K65" s="610">
        <v>30</v>
      </c>
      <c r="L65" s="610">
        <v>50</v>
      </c>
      <c r="M65" s="1366">
        <v>0.02</v>
      </c>
      <c r="O65" s="1322" t="s">
        <v>403</v>
      </c>
      <c r="P65" s="1323" t="s">
        <v>868</v>
      </c>
      <c r="Q65" s="1324">
        <f ca="1">C40+J29</f>
        <v>167110</v>
      </c>
      <c r="R65" s="1324" t="s">
        <v>818</v>
      </c>
    </row>
    <row r="66" spans="1:18" s="1289" customFormat="1" ht="16.5"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-181</v>
      </c>
      <c r="D67" s="906" t="s">
        <v>753</v>
      </c>
      <c r="E67" s="911"/>
      <c r="F67" s="912"/>
      <c r="O67" s="1331" t="s">
        <v>405</v>
      </c>
      <c r="P67" s="1323" t="s">
        <v>850</v>
      </c>
      <c r="Q67" s="1367">
        <f ca="1">L51</f>
        <v>152476</v>
      </c>
      <c r="R67" s="1324" t="s">
        <v>870</v>
      </c>
    </row>
    <row r="68" spans="1:18" s="1289" customFormat="1" ht="16.5" thickBot="1">
      <c r="A68" s="890" t="s">
        <v>395</v>
      </c>
      <c r="B68" s="891" t="s">
        <v>774</v>
      </c>
      <c r="C68" s="293">
        <f ca="1">ROUND(C67*(1-((1+F70)/(1+F68))^F69)/(F68-F70),0)</f>
        <v>-2147</v>
      </c>
      <c r="D68" s="908" t="s">
        <v>758</v>
      </c>
      <c r="E68" s="893" t="s">
        <v>759</v>
      </c>
      <c r="F68" s="304">
        <f ca="1">F40</f>
        <v>5.5E-2</v>
      </c>
      <c r="O68" s="1331" t="s">
        <v>406</v>
      </c>
      <c r="P68" s="1368" t="s">
        <v>871</v>
      </c>
      <c r="Q68" s="1324">
        <f ca="1">ROUND(Q69-Q70*Q71,0)</f>
        <v>8078</v>
      </c>
      <c r="R68" s="1324" t="s">
        <v>414</v>
      </c>
    </row>
    <row r="69" spans="1:18" s="1289" customFormat="1" ht="13.5" thickBot="1">
      <c r="A69" s="894"/>
      <c r="B69" s="895"/>
      <c r="C69" s="298"/>
      <c r="D69" s="913" t="s">
        <v>762</v>
      </c>
      <c r="E69" s="893" t="s">
        <v>763</v>
      </c>
      <c r="F69" s="324">
        <f ca="1">F41</f>
        <v>19.739999999999998</v>
      </c>
      <c r="O69" s="1331" t="s">
        <v>411</v>
      </c>
      <c r="P69" s="1368" t="s">
        <v>872</v>
      </c>
      <c r="Q69" s="1324">
        <f ca="1">C39</f>
        <v>11078</v>
      </c>
      <c r="R69" s="1324" t="s">
        <v>818</v>
      </c>
    </row>
    <row r="70" spans="1:18" s="1289" customFormat="1" ht="13.5" thickBot="1">
      <c r="A70" s="897"/>
      <c r="B70" s="898"/>
      <c r="C70" s="302"/>
      <c r="D70" s="909"/>
      <c r="E70" s="893" t="s">
        <v>766</v>
      </c>
      <c r="F70" s="988"/>
      <c r="O70" s="1331" t="s">
        <v>412</v>
      </c>
      <c r="P70" s="1368" t="s">
        <v>873</v>
      </c>
      <c r="Q70" s="1324">
        <f ca="1">C13</f>
        <v>42859</v>
      </c>
      <c r="R70" s="1324" t="s">
        <v>818</v>
      </c>
    </row>
    <row r="71" spans="1:18" s="1289" customFormat="1" ht="13.5" thickBot="1">
      <c r="A71" s="914" t="s">
        <v>396</v>
      </c>
      <c r="B71" s="915" t="s">
        <v>776</v>
      </c>
      <c r="C71" s="327">
        <f ca="1">ROUND(C68*10000/F71,0)</f>
        <v>-623</v>
      </c>
      <c r="D71" s="916" t="s">
        <v>777</v>
      </c>
      <c r="E71" s="917" t="s">
        <v>778</v>
      </c>
      <c r="F71" s="330">
        <f ca="1">F43</f>
        <v>34471.17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3000</v>
      </c>
      <c r="D75" s="1289"/>
      <c r="E75" s="1289"/>
      <c r="F75" s="1289"/>
      <c r="K75" s="1306"/>
      <c r="L75" s="1289"/>
      <c r="O75" s="1322" t="s">
        <v>409</v>
      </c>
      <c r="P75" s="1323" t="s">
        <v>838</v>
      </c>
      <c r="Q75" s="1324">
        <f ca="1">Q65+Q66</f>
        <v>167110</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0.74399999999999999</v>
      </c>
    </row>
    <row r="83" spans="2:3">
      <c r="B83" s="265" t="s">
        <v>803</v>
      </c>
      <c r="C83" s="266">
        <f ca="1">ROUND(C13/C40,3)</f>
        <v>0.25600000000000001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9</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088"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64" t="s">
        <v>694</v>
      </c>
      <c r="C6" s="1008">
        <f ca="1">ROUND(F6*F8*F7*(1-F9),0)</f>
        <v>0</v>
      </c>
      <c r="D6" s="147" t="s">
        <v>2106</v>
      </c>
      <c r="E6" s="294" t="s">
        <v>696</v>
      </c>
      <c r="F6" s="295">
        <f ca="1">INDIRECT("'数据-取费表'!u"&amp;$G$1)</f>
        <v>0</v>
      </c>
      <c r="G6" s="1289"/>
      <c r="H6" s="1003" t="s">
        <v>398</v>
      </c>
      <c r="I6" s="3464" t="s">
        <v>694</v>
      </c>
      <c r="J6" s="293">
        <f ca="1">ROUND(M6*M8*M7*(1-M9),0)</f>
        <v>0</v>
      </c>
      <c r="K6" s="1281" t="s">
        <v>2107</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0</v>
      </c>
      <c r="G7" s="1289"/>
      <c r="H7" s="296"/>
      <c r="I7" s="3465"/>
      <c r="J7" s="298"/>
      <c r="K7" s="299"/>
      <c r="L7" s="294" t="s">
        <v>697</v>
      </c>
      <c r="M7" s="295">
        <f ca="1">F7</f>
        <v>0</v>
      </c>
    </row>
    <row r="8" spans="1:37" ht="18" customHeight="1">
      <c r="A8" s="296"/>
      <c r="B8" s="3465"/>
      <c r="C8" s="298"/>
      <c r="D8" s="299"/>
      <c r="E8" s="294" t="s">
        <v>698</v>
      </c>
      <c r="F8" s="295">
        <f ca="1">INDIRECT("'数据-取费表'!ai"&amp;$G$1)</f>
        <v>0</v>
      </c>
      <c r="G8" s="1289"/>
      <c r="H8" s="296"/>
      <c r="I8" s="3465"/>
      <c r="J8" s="298"/>
      <c r="K8" s="299"/>
      <c r="L8" s="294" t="s">
        <v>698</v>
      </c>
      <c r="M8" s="295">
        <f ca="1">INDIRECT("'数据-取费表'!ai"&amp;$G$1)</f>
        <v>0</v>
      </c>
    </row>
    <row r="9" spans="1:37" ht="18" customHeight="1">
      <c r="A9" s="296"/>
      <c r="B9" s="3466"/>
      <c r="C9" s="298"/>
      <c r="D9" s="299"/>
      <c r="E9" s="294" t="s">
        <v>699</v>
      </c>
      <c r="F9" s="304">
        <f ca="1">INDIRECT("'数据-取费表'!w"&amp;$G$1)</f>
        <v>0</v>
      </c>
      <c r="G9" s="1289"/>
      <c r="H9" s="296"/>
      <c r="I9" s="346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IF(项目基本情况!B11="自然人","——",ROUND(F34*F35,0))</f>
        <v>0</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0</v>
      </c>
      <c r="G35" s="1289"/>
      <c r="H35" s="2464"/>
      <c r="I35" s="1302"/>
      <c r="J35" s="1303"/>
      <c r="K35" s="2468"/>
      <c r="L35" s="2467"/>
      <c r="M35" s="2467"/>
    </row>
    <row r="36" spans="1:18" ht="18" customHeight="1">
      <c r="A36" s="1036" t="s">
        <v>402</v>
      </c>
      <c r="B36" s="294" t="s">
        <v>738</v>
      </c>
      <c r="C36" s="21">
        <f ca="1">ROUND(C29*F36,0)</f>
        <v>0</v>
      </c>
      <c r="D36" s="1253" t="s">
        <v>771</v>
      </c>
      <c r="E36" s="294" t="s">
        <v>712</v>
      </c>
      <c r="F36" s="320">
        <f ca="1">INDIRECT("'数据-取费表'!Ak"&amp;$G$1)</f>
        <v>0</v>
      </c>
      <c r="G36" s="1289"/>
      <c r="H36" s="2467"/>
      <c r="I36" s="1302"/>
      <c r="J36" s="1303"/>
      <c r="K36" s="2325"/>
      <c r="L36" s="2467"/>
      <c r="M36" s="2467"/>
    </row>
    <row r="37" spans="1:18" ht="18" customHeight="1">
      <c r="A37" s="925" t="s">
        <v>437</v>
      </c>
      <c r="B37" s="294" t="s">
        <v>742</v>
      </c>
      <c r="C37" s="21">
        <f ca="1">ROUND(C13*F37,0)</f>
        <v>0</v>
      </c>
      <c r="D37" s="1253" t="s">
        <v>743</v>
      </c>
      <c r="E37" s="294" t="s">
        <v>744</v>
      </c>
      <c r="F37" s="321">
        <f ca="1">INDIRECT("'数据-取费表'!Al"&amp;$G$1)</f>
        <v>0</v>
      </c>
      <c r="G37" s="1289"/>
      <c r="H37" s="2467"/>
      <c r="I37" s="1302"/>
      <c r="J37" s="1303"/>
      <c r="K37" s="2325"/>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2">
        <f ca="1">C5-C30</f>
        <v>0</v>
      </c>
      <c r="D39" s="1029" t="s">
        <v>773</v>
      </c>
      <c r="E39" s="1030"/>
      <c r="F39" s="1031"/>
      <c r="G39" s="1289"/>
      <c r="H39" s="2467"/>
      <c r="I39" s="1302"/>
      <c r="J39" s="1303"/>
      <c r="K39" s="2465"/>
      <c r="L39" s="2467"/>
      <c r="M39" s="246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094" t="s">
        <v>3350</v>
      </c>
      <c r="B45" s="1304"/>
      <c r="C45" s="1373" t="e">
        <f ca="1">ROUND((C68-C40)/10000,4)</f>
        <v>#DIV/0!</v>
      </c>
      <c r="D45" s="3095" t="s">
        <v>3351</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2">
        <f ca="1">IF(M47="住宅",IF(D1="——",MAX(J51,L48),MAX(J51,L48-'数据-取费表'!B24)),IF(D1="——",MIN(J51,L48),MIN(J51,L48-'数据-取费表'!B24)))</f>
        <v>0</v>
      </c>
      <c r="K53" s="3462" t="s">
        <v>837</v>
      </c>
      <c r="L53" s="3463"/>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为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0" t="s">
        <v>2313</v>
      </c>
      <c r="B2" s="2588" t="e">
        <f>IF(D2="——",C40,C40+E2)</f>
        <v>#DIV/0!</v>
      </c>
      <c r="C2" s="2589" t="s">
        <v>2314</v>
      </c>
      <c r="D2" s="3103" t="s">
        <v>3357</v>
      </c>
      <c r="E2" s="3104"/>
      <c r="F2" s="2591"/>
      <c r="G2" s="2592"/>
      <c r="H2" s="2593"/>
      <c r="I2" s="2594"/>
      <c r="J2" s="3473" t="s">
        <v>2315</v>
      </c>
      <c r="K2" s="3474"/>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75" t="s">
        <v>2325</v>
      </c>
      <c r="K3" s="3476"/>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75" t="s">
        <v>2327</v>
      </c>
      <c r="K4" s="3476"/>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81" t="s">
        <v>2331</v>
      </c>
      <c r="B6" s="3482"/>
      <c r="C6" s="3483"/>
      <c r="D6" s="2615"/>
      <c r="E6" s="2616"/>
      <c r="F6" s="2617"/>
      <c r="G6" s="2618"/>
      <c r="H6" s="2593"/>
      <c r="I6" s="2594"/>
      <c r="J6" s="3467">
        <v>1</v>
      </c>
      <c r="K6" s="3468"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67"/>
      <c r="K7" s="3469"/>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84" t="s">
        <v>2345</v>
      </c>
      <c r="C8" s="3485"/>
      <c r="D8" s="2634" t="s">
        <v>2346</v>
      </c>
      <c r="E8" s="2635" t="s">
        <v>2347</v>
      </c>
      <c r="F8" s="2636" t="s">
        <v>2348</v>
      </c>
      <c r="G8" s="2637"/>
      <c r="H8" s="2593"/>
      <c r="I8" s="2594"/>
      <c r="J8" s="3467"/>
      <c r="K8" s="3469"/>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84" t="s">
        <v>2351</v>
      </c>
      <c r="C9" s="3485"/>
      <c r="D9" s="2634">
        <f>ROUND(D6*E9,0)</f>
        <v>0</v>
      </c>
      <c r="E9" s="2638"/>
      <c r="F9" s="2639" t="s">
        <v>2352</v>
      </c>
      <c r="G9" s="2618"/>
      <c r="H9" s="2593"/>
      <c r="I9" s="2594"/>
      <c r="J9" s="3467"/>
      <c r="K9" s="3469"/>
      <c r="L9" s="2628" t="s">
        <v>2353</v>
      </c>
      <c r="M9" s="2629"/>
      <c r="N9" s="2605"/>
      <c r="O9" s="2630"/>
      <c r="P9" s="2630"/>
      <c r="Q9" s="2631">
        <v>365</v>
      </c>
      <c r="R9" s="2632">
        <f t="shared" si="0"/>
        <v>0</v>
      </c>
      <c r="S9" s="2586"/>
      <c r="T9" s="2586"/>
      <c r="U9" s="2586"/>
      <c r="V9" s="2594"/>
    </row>
    <row r="10" spans="1:22" s="2598" customFormat="1" ht="13.15" customHeight="1">
      <c r="A10" s="2633">
        <v>2</v>
      </c>
      <c r="B10" s="3484" t="s">
        <v>2354</v>
      </c>
      <c r="C10" s="3485"/>
      <c r="D10" s="2634">
        <f>ROUND(D6*E10,0)</f>
        <v>0</v>
      </c>
      <c r="E10" s="2638"/>
      <c r="F10" s="2639" t="s">
        <v>2355</v>
      </c>
      <c r="G10" s="2618"/>
      <c r="H10" s="2593"/>
      <c r="I10" s="2594"/>
      <c r="J10" s="3467"/>
      <c r="K10" s="3469"/>
      <c r="L10" s="2628" t="s">
        <v>2356</v>
      </c>
      <c r="M10" s="2629"/>
      <c r="N10" s="2605"/>
      <c r="O10" s="2630"/>
      <c r="P10" s="2630"/>
      <c r="Q10" s="2631">
        <v>365</v>
      </c>
      <c r="R10" s="2632">
        <f t="shared" si="0"/>
        <v>0</v>
      </c>
      <c r="S10" s="2586"/>
      <c r="T10" s="2586"/>
      <c r="U10" s="2586"/>
      <c r="V10" s="2594"/>
    </row>
    <row r="11" spans="1:22" s="2598" customFormat="1" ht="13.15" customHeight="1">
      <c r="A11" s="2633">
        <v>3</v>
      </c>
      <c r="B11" s="3484" t="s">
        <v>2357</v>
      </c>
      <c r="C11" s="3485"/>
      <c r="D11" s="2634">
        <f>D12+D14+D15+D16</f>
        <v>0</v>
      </c>
      <c r="E11" s="2640" t="e">
        <f>D11/D6</f>
        <v>#DIV/0!</v>
      </c>
      <c r="F11" s="2636"/>
      <c r="G11" s="2637"/>
      <c r="H11" s="2593"/>
      <c r="I11" s="2594"/>
      <c r="J11" s="3467"/>
      <c r="K11" s="3469"/>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77" t="s">
        <v>2360</v>
      </c>
      <c r="C12" s="3478"/>
      <c r="D12" s="2642">
        <f>ROUND(D13*1.2%*(1-30%),0)</f>
        <v>0</v>
      </c>
      <c r="E12" s="2643">
        <v>1.2E-2</v>
      </c>
      <c r="F12" s="2636" t="s">
        <v>2361</v>
      </c>
      <c r="G12" s="2637"/>
      <c r="H12" s="2593"/>
      <c r="I12" s="2594"/>
      <c r="J12" s="3467"/>
      <c r="K12" s="3469"/>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67"/>
      <c r="K13" s="3469"/>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77" t="s">
        <v>2366</v>
      </c>
      <c r="C14" s="3478"/>
      <c r="D14" s="2642">
        <f>ROUND(E14*B5/10000,0)</f>
        <v>0</v>
      </c>
      <c r="E14" s="2631"/>
      <c r="F14" s="2636" t="s">
        <v>2367</v>
      </c>
      <c r="G14" s="2637"/>
      <c r="H14" s="2593"/>
      <c r="I14" s="2594"/>
      <c r="J14" s="3467"/>
      <c r="K14" s="3470"/>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77" t="s">
        <v>2370</v>
      </c>
      <c r="C15" s="3478"/>
      <c r="D15" s="2642">
        <f>ROUND(D6*E15,0)</f>
        <v>0</v>
      </c>
      <c r="E15" s="2643">
        <v>5.5E-2</v>
      </c>
      <c r="F15" s="2636" t="s">
        <v>2371</v>
      </c>
      <c r="G15" s="2618"/>
      <c r="H15" s="2593"/>
      <c r="I15" s="2594"/>
      <c r="J15" s="3467">
        <v>2</v>
      </c>
      <c r="K15" s="3468"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77" t="s">
        <v>2379</v>
      </c>
      <c r="C16" s="3478"/>
      <c r="D16" s="2653">
        <f>D6*E16</f>
        <v>0</v>
      </c>
      <c r="E16" s="2654"/>
      <c r="F16" s="2639" t="s">
        <v>2380</v>
      </c>
      <c r="G16" s="2618"/>
      <c r="H16" s="2593"/>
      <c r="I16" s="2594"/>
      <c r="J16" s="3467"/>
      <c r="K16" s="3469"/>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79" t="s">
        <v>2382</v>
      </c>
      <c r="C17" s="3480"/>
      <c r="D17" s="2656">
        <f>ROUND(D6*E17,0)</f>
        <v>0</v>
      </c>
      <c r="E17" s="2657"/>
      <c r="F17" s="2658" t="s">
        <v>2383</v>
      </c>
      <c r="G17" s="2618"/>
      <c r="H17" s="2593"/>
      <c r="I17" s="2594"/>
      <c r="J17" s="3467"/>
      <c r="K17" s="3469"/>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67"/>
      <c r="K18" s="3469"/>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67"/>
      <c r="K19" s="3470"/>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67">
        <v>3</v>
      </c>
      <c r="K20" s="3468"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67"/>
      <c r="K21" s="3469"/>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67"/>
      <c r="K22" s="3469"/>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67"/>
      <c r="K23" s="3469"/>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67"/>
      <c r="K24" s="3470"/>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71">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72"/>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73" t="s">
        <v>2315</v>
      </c>
      <c r="K32" s="3474"/>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75" t="s">
        <v>2325</v>
      </c>
      <c r="K33" s="3476"/>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75" t="s">
        <v>2327</v>
      </c>
      <c r="K34" s="3476"/>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67">
        <v>1</v>
      </c>
      <c r="K36" s="3468"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67"/>
      <c r="K37" s="3469"/>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67"/>
      <c r="K38" s="3469"/>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67"/>
      <c r="K39" s="3469"/>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67"/>
      <c r="K40" s="3470"/>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71">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72"/>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08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09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8"/>
      <c r="M2" s="2479"/>
      <c r="N2" s="2479"/>
      <c r="O2" s="2479"/>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84373.10000000002</v>
      </c>
      <c r="E3" s="851"/>
      <c r="F3" s="1740"/>
      <c r="G3" s="851"/>
      <c r="H3" s="851"/>
      <c r="I3" s="851"/>
      <c r="J3" s="851"/>
      <c r="K3" s="1737"/>
      <c r="L3" s="2478"/>
      <c r="M3" s="2479"/>
      <c r="N3" s="2479"/>
      <c r="O3" s="2479"/>
      <c r="P3" s="1738"/>
      <c r="Q3" s="1739"/>
      <c r="R3" s="1739"/>
      <c r="S3" s="1739"/>
      <c r="T3" s="1739"/>
      <c r="U3" s="1739"/>
      <c r="V3" s="1739"/>
      <c r="W3" s="1739"/>
      <c r="X3" s="1739"/>
      <c r="Y3" s="1739"/>
      <c r="Z3" s="1739"/>
      <c r="AA3" s="1739"/>
      <c r="AB3" s="1739"/>
      <c r="AC3" s="995"/>
    </row>
    <row r="4" spans="1:29" ht="15">
      <c r="A4" s="345" t="s">
        <v>1666</v>
      </c>
      <c r="B4" s="346"/>
      <c r="C4" s="3404" t="s">
        <v>1667</v>
      </c>
      <c r="D4" s="3405"/>
      <c r="E4" s="3406" t="s">
        <v>1668</v>
      </c>
      <c r="F4" s="3407"/>
      <c r="G4" s="3404" t="s">
        <v>1669</v>
      </c>
      <c r="H4" s="3405"/>
      <c r="I4" s="3404" t="s">
        <v>1670</v>
      </c>
      <c r="J4" s="3405"/>
      <c r="K4" s="1741" t="s">
        <v>1671</v>
      </c>
      <c r="L4" s="2480"/>
      <c r="M4" s="2481"/>
      <c r="N4" s="2481"/>
      <c r="O4" s="2481"/>
      <c r="P4" s="3490" t="s">
        <v>1672</v>
      </c>
      <c r="Q4" s="3491"/>
      <c r="R4" s="3494" t="s">
        <v>1668</v>
      </c>
      <c r="S4" s="3495"/>
      <c r="T4" s="3494" t="s">
        <v>1669</v>
      </c>
      <c r="U4" s="3495"/>
      <c r="V4" s="3388" t="s">
        <v>1670</v>
      </c>
      <c r="W4" s="3388"/>
      <c r="X4" s="1262"/>
      <c r="Y4" s="3494" t="s">
        <v>1672</v>
      </c>
      <c r="Z4" s="3495"/>
      <c r="AA4" s="3489" t="s">
        <v>1668</v>
      </c>
      <c r="AB4" s="3489" t="s">
        <v>1669</v>
      </c>
      <c r="AC4" s="3489" t="s">
        <v>1670</v>
      </c>
    </row>
    <row r="5" spans="1:29" ht="15">
      <c r="A5" s="348"/>
      <c r="B5" s="349"/>
      <c r="C5" s="3429" t="s">
        <v>1673</v>
      </c>
      <c r="D5" s="3424"/>
      <c r="E5" s="3496" t="s">
        <v>1674</v>
      </c>
      <c r="F5" s="3437"/>
      <c r="G5" s="3429" t="s">
        <v>1675</v>
      </c>
      <c r="H5" s="3424"/>
      <c r="I5" s="3429" t="s">
        <v>1676</v>
      </c>
      <c r="J5" s="3424"/>
      <c r="K5" s="1742"/>
      <c r="L5" s="2480"/>
      <c r="M5" s="2481"/>
      <c r="N5" s="2481"/>
      <c r="O5" s="2481"/>
      <c r="P5" s="3492"/>
      <c r="Q5" s="3411"/>
      <c r="R5" s="3416"/>
      <c r="S5" s="3417"/>
      <c r="T5" s="3416"/>
      <c r="U5" s="3417"/>
      <c r="V5" s="3388"/>
      <c r="W5" s="3388"/>
      <c r="X5" s="1262"/>
      <c r="Y5" s="3416"/>
      <c r="Z5" s="3417"/>
      <c r="AA5" s="3434"/>
      <c r="AB5" s="3434"/>
      <c r="AC5" s="3434"/>
    </row>
    <row r="6" spans="1:29" ht="15.75" thickBot="1">
      <c r="A6" s="350"/>
      <c r="B6" s="351"/>
      <c r="C6" s="3421" t="s">
        <v>1677</v>
      </c>
      <c r="D6" s="3422"/>
      <c r="E6" s="3431" t="s">
        <v>1677</v>
      </c>
      <c r="F6" s="3432"/>
      <c r="G6" s="3421" t="s">
        <v>1677</v>
      </c>
      <c r="H6" s="3422"/>
      <c r="I6" s="3421" t="s">
        <v>1677</v>
      </c>
      <c r="J6" s="3422"/>
      <c r="K6" s="1742" t="s">
        <v>1678</v>
      </c>
      <c r="L6" s="2480"/>
      <c r="M6" s="2481"/>
      <c r="N6" s="2481"/>
      <c r="O6" s="2481"/>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SUMIF(58:58,YEAR(E7)&amp;"-"&amp;MONTH(E7),59:59)</f>
        <v>0</v>
      </c>
      <c r="G7" s="356"/>
      <c r="H7" s="355">
        <f>SUMIF(58:58,YEAR(G7)&amp;"-"&amp;MONTH(G7),59:59)</f>
        <v>0</v>
      </c>
      <c r="I7" s="356"/>
      <c r="J7" s="355">
        <f>SUMIF(58:58,YEAR(I7)&amp;"-"&amp;MONTH(I7),59:59)</f>
        <v>0</v>
      </c>
      <c r="K7" s="1743"/>
      <c r="L7" s="2482"/>
      <c r="M7" s="2434"/>
      <c r="N7" s="2434"/>
      <c r="O7" s="2434"/>
      <c r="P7" s="3427" t="s">
        <v>1680</v>
      </c>
      <c r="Q7" s="3428"/>
      <c r="R7" s="664" t="s">
        <v>20</v>
      </c>
      <c r="S7" s="665">
        <f t="shared" ref="S7:S15" si="0">F7</f>
        <v>0</v>
      </c>
      <c r="T7" s="664" t="s">
        <v>20</v>
      </c>
      <c r="U7" s="665">
        <f t="shared" ref="U7:U15" si="1">H7</f>
        <v>0</v>
      </c>
      <c r="V7" s="664" t="s">
        <v>20</v>
      </c>
      <c r="W7" s="665">
        <f t="shared" ref="W7:W15" si="2">J7</f>
        <v>0</v>
      </c>
      <c r="X7" s="666"/>
      <c r="Y7" s="3427" t="s">
        <v>1680</v>
      </c>
      <c r="Z7" s="3426"/>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2"/>
      <c r="M8" s="2434"/>
      <c r="N8" s="2434"/>
      <c r="O8" s="2434"/>
      <c r="P8" s="3427" t="s">
        <v>1683</v>
      </c>
      <c r="Q8" s="3426"/>
      <c r="R8" s="664" t="s">
        <v>20</v>
      </c>
      <c r="S8" s="665">
        <f t="shared" si="0"/>
        <v>100</v>
      </c>
      <c r="T8" s="664" t="s">
        <v>20</v>
      </c>
      <c r="U8" s="665">
        <f t="shared" si="1"/>
        <v>100</v>
      </c>
      <c r="V8" s="664" t="s">
        <v>20</v>
      </c>
      <c r="W8" s="665">
        <f t="shared" si="2"/>
        <v>100</v>
      </c>
      <c r="X8" s="666"/>
      <c r="Y8" s="3427" t="s">
        <v>1683</v>
      </c>
      <c r="Z8" s="342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2"/>
      <c r="M9" s="2434"/>
      <c r="N9" s="2434"/>
      <c r="O9" s="2434"/>
      <c r="P9" s="3386"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8"/>
      <c r="F10" s="364">
        <f>SUMIF(65:65,E10,66:66)-SUMIF(65:65,C10,66:66)+100</f>
        <v>100</v>
      </c>
      <c r="G10" s="3097"/>
      <c r="H10" s="119">
        <f>SUMIF(65:65,G10,66:66)-SUMIF(65:65,C10,66:66)+100</f>
        <v>100</v>
      </c>
      <c r="I10" s="3097"/>
      <c r="J10" s="119">
        <f>SUMIF(65:65,I10,66:66)-SUMIF(65:65,C10,66:66)+100</f>
        <v>100</v>
      </c>
      <c r="K10" s="1743"/>
      <c r="L10" s="2483"/>
      <c r="M10" s="2484"/>
      <c r="N10" s="2484"/>
      <c r="O10" s="2484"/>
      <c r="P10" s="3386"/>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86"/>
      <c r="Q11" s="530" t="str">
        <f t="shared" si="6"/>
        <v>容积率</v>
      </c>
      <c r="R11" s="664" t="s">
        <v>18</v>
      </c>
      <c r="S11" s="665" t="e">
        <f t="shared" si="0"/>
        <v>#N/A</v>
      </c>
      <c r="T11" s="664" t="s">
        <v>18</v>
      </c>
      <c r="U11" s="665" t="e">
        <f t="shared" si="1"/>
        <v>#N/A</v>
      </c>
      <c r="V11" s="664" t="s">
        <v>18</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2"/>
      <c r="M12" s="2434"/>
      <c r="N12" s="2434"/>
      <c r="O12" s="2434"/>
      <c r="P12" s="3386"/>
      <c r="Q12" s="530">
        <f t="shared" si="6"/>
        <v>111</v>
      </c>
      <c r="R12" s="664" t="s">
        <v>18</v>
      </c>
      <c r="S12" s="665">
        <f t="shared" si="0"/>
        <v>100</v>
      </c>
      <c r="T12" s="664" t="s">
        <v>18</v>
      </c>
      <c r="U12" s="665">
        <f t="shared" si="1"/>
        <v>100</v>
      </c>
      <c r="V12" s="664" t="s">
        <v>18</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6"/>
      <c r="M13" s="2481"/>
      <c r="N13" s="2481"/>
      <c r="O13" s="2481"/>
      <c r="P13" s="3386"/>
      <c r="Q13" s="530">
        <f t="shared" si="6"/>
        <v>111</v>
      </c>
      <c r="R13" s="664" t="s">
        <v>18</v>
      </c>
      <c r="S13" s="665">
        <f t="shared" si="0"/>
        <v>100</v>
      </c>
      <c r="T13" s="664" t="s">
        <v>18</v>
      </c>
      <c r="U13" s="665">
        <f t="shared" si="1"/>
        <v>100</v>
      </c>
      <c r="V13" s="664" t="s">
        <v>18</v>
      </c>
      <c r="W13" s="665">
        <f t="shared" si="2"/>
        <v>100</v>
      </c>
      <c r="X13" s="666"/>
      <c r="Y13" s="3293"/>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6"/>
      <c r="M14" s="2481"/>
      <c r="N14" s="2481"/>
      <c r="O14" s="2481"/>
      <c r="P14" s="3386"/>
      <c r="Q14" s="530">
        <f t="shared" si="6"/>
        <v>111</v>
      </c>
      <c r="R14" s="664" t="s">
        <v>18</v>
      </c>
      <c r="S14" s="665">
        <f t="shared" si="0"/>
        <v>100</v>
      </c>
      <c r="T14" s="664" t="s">
        <v>18</v>
      </c>
      <c r="U14" s="665">
        <f t="shared" si="1"/>
        <v>100</v>
      </c>
      <c r="V14" s="664" t="s">
        <v>18</v>
      </c>
      <c r="W14" s="665">
        <f t="shared" si="2"/>
        <v>100</v>
      </c>
      <c r="X14" s="666"/>
      <c r="Y14" s="3293"/>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92" t="s">
        <v>1691</v>
      </c>
      <c r="Q15" s="1260" t="str">
        <f t="shared" si="6"/>
        <v>居住社区成熟度</v>
      </c>
      <c r="R15" s="667" t="s">
        <v>18</v>
      </c>
      <c r="S15" s="668">
        <f t="shared" si="0"/>
        <v>100</v>
      </c>
      <c r="T15" s="667" t="s">
        <v>18</v>
      </c>
      <c r="U15" s="668">
        <f t="shared" si="1"/>
        <v>100</v>
      </c>
      <c r="V15" s="667" t="s">
        <v>18</v>
      </c>
      <c r="W15" s="668">
        <f t="shared" si="2"/>
        <v>100</v>
      </c>
      <c r="X15" s="1262"/>
      <c r="Y15" s="3394"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6"/>
      <c r="M16" s="2481"/>
      <c r="N16" s="2481"/>
      <c r="O16" s="2481"/>
      <c r="P16" s="3393"/>
      <c r="Q16" s="1260"/>
      <c r="R16" s="667"/>
      <c r="S16" s="668"/>
      <c r="T16" s="667"/>
      <c r="U16" s="668"/>
      <c r="V16" s="667"/>
      <c r="W16" s="668"/>
      <c r="X16" s="1262"/>
      <c r="Y16" s="3395"/>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93"/>
      <c r="Q17" s="1260" t="str">
        <f>B17</f>
        <v>交通便捷度</v>
      </c>
      <c r="R17" s="667" t="s">
        <v>18</v>
      </c>
      <c r="S17" s="668">
        <f>F17</f>
        <v>100</v>
      </c>
      <c r="T17" s="667" t="s">
        <v>18</v>
      </c>
      <c r="U17" s="668">
        <f>H17</f>
        <v>100</v>
      </c>
      <c r="V17" s="667" t="s">
        <v>18</v>
      </c>
      <c r="W17" s="668">
        <f>J17</f>
        <v>100</v>
      </c>
      <c r="X17" s="1262"/>
      <c r="Y17" s="3395"/>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6"/>
      <c r="M18" s="2481"/>
      <c r="N18" s="2481"/>
      <c r="O18" s="2481"/>
      <c r="P18" s="3393"/>
      <c r="Q18" s="1260"/>
      <c r="R18" s="667"/>
      <c r="S18" s="668"/>
      <c r="T18" s="667"/>
      <c r="U18" s="668"/>
      <c r="V18" s="667"/>
      <c r="W18" s="668"/>
      <c r="X18" s="1262"/>
      <c r="Y18" s="3395"/>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93"/>
      <c r="Q19" s="1260" t="str">
        <f>B19</f>
        <v>公共配套设施</v>
      </c>
      <c r="R19" s="667" t="s">
        <v>18</v>
      </c>
      <c r="S19" s="668">
        <f>F19</f>
        <v>100</v>
      </c>
      <c r="T19" s="667" t="s">
        <v>18</v>
      </c>
      <c r="U19" s="668">
        <f>H19</f>
        <v>100</v>
      </c>
      <c r="V19" s="667" t="s">
        <v>18</v>
      </c>
      <c r="W19" s="668">
        <f>J19</f>
        <v>100</v>
      </c>
      <c r="X19" s="1262"/>
      <c r="Y19" s="3395"/>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6"/>
      <c r="M20" s="2481"/>
      <c r="N20" s="2481"/>
      <c r="O20" s="2481"/>
      <c r="P20" s="3393"/>
      <c r="Q20" s="1260"/>
      <c r="R20" s="667"/>
      <c r="S20" s="668"/>
      <c r="T20" s="667"/>
      <c r="U20" s="668"/>
      <c r="V20" s="667"/>
      <c r="W20" s="668"/>
      <c r="X20" s="1262"/>
      <c r="Y20" s="3395"/>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93"/>
      <c r="Q21" s="1260" t="str">
        <f>B21</f>
        <v>基础设施水平</v>
      </c>
      <c r="R21" s="667" t="s">
        <v>14</v>
      </c>
      <c r="S21" s="668">
        <f>F21</f>
        <v>100</v>
      </c>
      <c r="T21" s="667" t="s">
        <v>14</v>
      </c>
      <c r="U21" s="668">
        <f>H21</f>
        <v>100</v>
      </c>
      <c r="V21" s="667" t="s">
        <v>14</v>
      </c>
      <c r="W21" s="668">
        <f>J21</f>
        <v>100</v>
      </c>
      <c r="X21" s="1262"/>
      <c r="Y21" s="339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6"/>
      <c r="M22" s="2481"/>
      <c r="N22" s="2481"/>
      <c r="O22" s="2481"/>
      <c r="P22" s="3393"/>
      <c r="Q22" s="1260"/>
      <c r="R22" s="667"/>
      <c r="S22" s="668"/>
      <c r="T22" s="667"/>
      <c r="U22" s="668"/>
      <c r="V22" s="667"/>
      <c r="W22" s="668"/>
      <c r="X22" s="1262"/>
      <c r="Y22" s="3395"/>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93"/>
      <c r="Q23" s="1260" t="str">
        <f>B23</f>
        <v>自然及人文环境</v>
      </c>
      <c r="R23" s="667" t="s">
        <v>18</v>
      </c>
      <c r="S23" s="668">
        <f>F23</f>
        <v>100</v>
      </c>
      <c r="T23" s="667" t="s">
        <v>18</v>
      </c>
      <c r="U23" s="668">
        <f>H23</f>
        <v>100</v>
      </c>
      <c r="V23" s="667" t="s">
        <v>18</v>
      </c>
      <c r="W23" s="668">
        <f>J23</f>
        <v>100</v>
      </c>
      <c r="X23" s="1262"/>
      <c r="Y23" s="3395"/>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6"/>
      <c r="M24" s="2481"/>
      <c r="N24" s="2481"/>
      <c r="O24" s="2481"/>
      <c r="P24" s="3393"/>
      <c r="Q24" s="1260"/>
      <c r="R24" s="667"/>
      <c r="S24" s="668"/>
      <c r="T24" s="667"/>
      <c r="U24" s="668"/>
      <c r="V24" s="667"/>
      <c r="W24" s="668"/>
      <c r="X24" s="1262"/>
      <c r="Y24" s="3395"/>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6"/>
      <c r="M25" s="2481"/>
      <c r="N25" s="2481"/>
      <c r="O25" s="2481"/>
      <c r="P25" s="3393"/>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95"/>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6"/>
      <c r="M26" s="2481"/>
      <c r="N26" s="2481"/>
      <c r="O26" s="2481"/>
      <c r="P26" s="3393"/>
      <c r="Q26" s="1260" t="str">
        <f t="shared" si="11"/>
        <v>朝向</v>
      </c>
      <c r="R26" s="667" t="s">
        <v>18</v>
      </c>
      <c r="S26" s="668">
        <f t="shared" si="12"/>
        <v>100</v>
      </c>
      <c r="T26" s="667" t="s">
        <v>18</v>
      </c>
      <c r="U26" s="668">
        <f t="shared" si="13"/>
        <v>100</v>
      </c>
      <c r="V26" s="667" t="s">
        <v>18</v>
      </c>
      <c r="W26" s="668">
        <f t="shared" si="14"/>
        <v>100</v>
      </c>
      <c r="X26" s="1262"/>
      <c r="Y26" s="3395"/>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2"/>
      <c r="M27" s="2434"/>
      <c r="N27" s="2434"/>
      <c r="O27" s="2434"/>
      <c r="P27" s="3393"/>
      <c r="Q27" s="530">
        <f t="shared" si="11"/>
        <v>111</v>
      </c>
      <c r="R27" s="664" t="s">
        <v>18</v>
      </c>
      <c r="S27" s="665">
        <f t="shared" si="12"/>
        <v>100</v>
      </c>
      <c r="T27" s="664" t="s">
        <v>18</v>
      </c>
      <c r="U27" s="665">
        <f t="shared" si="13"/>
        <v>100</v>
      </c>
      <c r="V27" s="664" t="s">
        <v>18</v>
      </c>
      <c r="W27" s="665">
        <f t="shared" si="14"/>
        <v>100</v>
      </c>
      <c r="X27" s="666"/>
      <c r="Y27" s="3395"/>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6"/>
      <c r="M28" s="2481"/>
      <c r="N28" s="2481"/>
      <c r="O28" s="2481"/>
      <c r="P28" s="3393"/>
      <c r="Q28" s="1260">
        <f t="shared" si="11"/>
        <v>111</v>
      </c>
      <c r="R28" s="667" t="s">
        <v>18</v>
      </c>
      <c r="S28" s="668">
        <f t="shared" si="12"/>
        <v>100</v>
      </c>
      <c r="T28" s="667" t="s">
        <v>18</v>
      </c>
      <c r="U28" s="668">
        <f t="shared" si="13"/>
        <v>100</v>
      </c>
      <c r="V28" s="667" t="s">
        <v>18</v>
      </c>
      <c r="W28" s="668">
        <f t="shared" si="14"/>
        <v>100</v>
      </c>
      <c r="X28" s="1262"/>
      <c r="Y28" s="3395"/>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6"/>
      <c r="M29" s="2481"/>
      <c r="N29" s="2481"/>
      <c r="O29" s="2481"/>
      <c r="P29" s="3393"/>
      <c r="Q29" s="1260">
        <f t="shared" si="11"/>
        <v>111</v>
      </c>
      <c r="R29" s="667" t="s">
        <v>18</v>
      </c>
      <c r="S29" s="668">
        <f t="shared" si="12"/>
        <v>100</v>
      </c>
      <c r="T29" s="667" t="s">
        <v>18</v>
      </c>
      <c r="U29" s="668">
        <f t="shared" si="13"/>
        <v>100</v>
      </c>
      <c r="V29" s="667" t="s">
        <v>18</v>
      </c>
      <c r="W29" s="668">
        <f t="shared" si="14"/>
        <v>100</v>
      </c>
      <c r="X29" s="1262"/>
      <c r="Y29" s="3395"/>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6"/>
      <c r="M30" s="2481"/>
      <c r="N30" s="2481"/>
      <c r="O30" s="2481"/>
      <c r="P30" s="3393"/>
      <c r="Q30" s="1260">
        <f t="shared" si="11"/>
        <v>111</v>
      </c>
      <c r="R30" s="667" t="s">
        <v>18</v>
      </c>
      <c r="S30" s="668">
        <f t="shared" si="12"/>
        <v>100</v>
      </c>
      <c r="T30" s="667" t="s">
        <v>18</v>
      </c>
      <c r="U30" s="668">
        <f t="shared" si="13"/>
        <v>100</v>
      </c>
      <c r="V30" s="667" t="s">
        <v>18</v>
      </c>
      <c r="W30" s="668">
        <f t="shared" si="14"/>
        <v>100</v>
      </c>
      <c r="X30" s="1262"/>
      <c r="Y30" s="3395"/>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6"/>
      <c r="M31" s="2481"/>
      <c r="N31" s="2481"/>
      <c r="O31" s="2481"/>
      <c r="P31" s="3393"/>
      <c r="Q31" s="1260">
        <f t="shared" si="11"/>
        <v>111</v>
      </c>
      <c r="R31" s="667" t="s">
        <v>18</v>
      </c>
      <c r="S31" s="668">
        <f t="shared" si="12"/>
        <v>100</v>
      </c>
      <c r="T31" s="667" t="s">
        <v>18</v>
      </c>
      <c r="U31" s="668">
        <f t="shared" si="13"/>
        <v>100</v>
      </c>
      <c r="V31" s="667" t="s">
        <v>18</v>
      </c>
      <c r="W31" s="668">
        <f t="shared" si="14"/>
        <v>100</v>
      </c>
      <c r="X31" s="1262"/>
      <c r="Y31" s="3395"/>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6"/>
      <c r="M32" s="2481"/>
      <c r="N32" s="2481"/>
      <c r="O32" s="2481"/>
      <c r="P32" s="3396" t="s">
        <v>1696</v>
      </c>
      <c r="Q32" s="1260" t="str">
        <f t="shared" si="11"/>
        <v>建筑类型</v>
      </c>
      <c r="R32" s="667" t="s">
        <v>18</v>
      </c>
      <c r="S32" s="668">
        <f t="shared" si="12"/>
        <v>100</v>
      </c>
      <c r="T32" s="667" t="s">
        <v>18</v>
      </c>
      <c r="U32" s="668">
        <f t="shared" si="13"/>
        <v>100</v>
      </c>
      <c r="V32" s="667" t="s">
        <v>18</v>
      </c>
      <c r="W32" s="668">
        <f t="shared" si="14"/>
        <v>100</v>
      </c>
      <c r="X32" s="1262"/>
      <c r="Y32" s="3399"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5"/>
      <c r="M33" s="2487"/>
      <c r="N33" s="2487"/>
      <c r="O33" s="2487"/>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6"/>
      <c r="M34" s="2481"/>
      <c r="N34" s="2481"/>
      <c r="O34" s="2481"/>
      <c r="P34" s="3397"/>
      <c r="Q34" s="1260" t="str">
        <f t="shared" si="11"/>
        <v>建筑结构</v>
      </c>
      <c r="R34" s="667" t="s">
        <v>18</v>
      </c>
      <c r="S34" s="668">
        <f t="shared" si="12"/>
        <v>100</v>
      </c>
      <c r="T34" s="667" t="s">
        <v>18</v>
      </c>
      <c r="U34" s="668">
        <f t="shared" si="13"/>
        <v>100</v>
      </c>
      <c r="V34" s="667" t="s">
        <v>18</v>
      </c>
      <c r="W34" s="668">
        <f t="shared" si="14"/>
        <v>100</v>
      </c>
      <c r="X34" s="1262"/>
      <c r="Y34" s="3399"/>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6"/>
      <c r="M35" s="2481"/>
      <c r="N35" s="2481"/>
      <c r="O35" s="2481"/>
      <c r="P35" s="3397"/>
      <c r="Q35" s="1260" t="str">
        <f t="shared" si="11"/>
        <v>建筑品质</v>
      </c>
      <c r="R35" s="667" t="s">
        <v>18</v>
      </c>
      <c r="S35" s="668">
        <f t="shared" si="12"/>
        <v>100</v>
      </c>
      <c r="T35" s="667" t="s">
        <v>18</v>
      </c>
      <c r="U35" s="668">
        <f t="shared" si="13"/>
        <v>100</v>
      </c>
      <c r="V35" s="667" t="s">
        <v>18</v>
      </c>
      <c r="W35" s="668">
        <f t="shared" si="14"/>
        <v>100</v>
      </c>
      <c r="X35" s="1262"/>
      <c r="Y35" s="3399"/>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6"/>
      <c r="M36" s="2481"/>
      <c r="N36" s="2481"/>
      <c r="O36" s="2481"/>
      <c r="P36" s="3397"/>
      <c r="Q36" s="1260" t="str">
        <f t="shared" si="11"/>
        <v>公共部分装修</v>
      </c>
      <c r="R36" s="667" t="s">
        <v>18</v>
      </c>
      <c r="S36" s="668">
        <f t="shared" si="12"/>
        <v>100</v>
      </c>
      <c r="T36" s="667" t="s">
        <v>18</v>
      </c>
      <c r="U36" s="668">
        <f t="shared" si="13"/>
        <v>100</v>
      </c>
      <c r="V36" s="667" t="s">
        <v>18</v>
      </c>
      <c r="W36" s="668">
        <f t="shared" si="14"/>
        <v>100</v>
      </c>
      <c r="X36" s="1262"/>
      <c r="Y36" s="3399"/>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4"/>
      <c r="N37" s="2434"/>
      <c r="O37" s="2434"/>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6"/>
      <c r="M38" s="2481"/>
      <c r="N38" s="2481"/>
      <c r="O38" s="2481"/>
      <c r="P38" s="3397" t="s">
        <v>1696</v>
      </c>
      <c r="Q38" s="1260" t="str">
        <f t="shared" si="11"/>
        <v>物业管理</v>
      </c>
      <c r="R38" s="667" t="s">
        <v>18</v>
      </c>
      <c r="S38" s="668">
        <f t="shared" si="12"/>
        <v>100</v>
      </c>
      <c r="T38" s="667" t="s">
        <v>18</v>
      </c>
      <c r="U38" s="668">
        <f t="shared" si="13"/>
        <v>100</v>
      </c>
      <c r="V38" s="667" t="s">
        <v>18</v>
      </c>
      <c r="W38" s="668">
        <f t="shared" si="14"/>
        <v>100</v>
      </c>
      <c r="X38" s="1262"/>
      <c r="Y38" s="3399"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6"/>
      <c r="M39" s="2481"/>
      <c r="N39" s="2481"/>
      <c r="O39" s="2481"/>
      <c r="P39" s="3397"/>
      <c r="Q39" s="1260" t="str">
        <f t="shared" si="11"/>
        <v>市政基础设施</v>
      </c>
      <c r="R39" s="667" t="s">
        <v>18</v>
      </c>
      <c r="S39" s="668">
        <f t="shared" si="12"/>
        <v>100</v>
      </c>
      <c r="T39" s="667" t="s">
        <v>18</v>
      </c>
      <c r="U39" s="668">
        <f t="shared" si="13"/>
        <v>100</v>
      </c>
      <c r="V39" s="667" t="s">
        <v>18</v>
      </c>
      <c r="W39" s="668">
        <f t="shared" si="14"/>
        <v>100</v>
      </c>
      <c r="X39" s="1262"/>
      <c r="Y39" s="3399"/>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6"/>
      <c r="M40" s="2481"/>
      <c r="N40" s="2481"/>
      <c r="O40" s="2481"/>
      <c r="P40" s="3397"/>
      <c r="Q40" s="1260" t="str">
        <f t="shared" si="11"/>
        <v>房型</v>
      </c>
      <c r="R40" s="667" t="s">
        <v>18</v>
      </c>
      <c r="S40" s="668">
        <f t="shared" si="12"/>
        <v>100</v>
      </c>
      <c r="T40" s="667" t="s">
        <v>18</v>
      </c>
      <c r="U40" s="668">
        <f t="shared" si="13"/>
        <v>100</v>
      </c>
      <c r="V40" s="667" t="s">
        <v>18</v>
      </c>
      <c r="W40" s="668">
        <f t="shared" si="14"/>
        <v>100</v>
      </c>
      <c r="X40" s="1262"/>
      <c r="Y40" s="3399"/>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5"/>
      <c r="M41" s="2487"/>
      <c r="N41" s="2487"/>
      <c r="O41" s="2487"/>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6"/>
      <c r="M42" s="2481"/>
      <c r="N42" s="2481"/>
      <c r="O42" s="2481"/>
      <c r="P42" s="3397"/>
      <c r="Q42" s="1260" t="str">
        <f t="shared" si="11"/>
        <v>内部装修</v>
      </c>
      <c r="R42" s="667" t="s">
        <v>18</v>
      </c>
      <c r="S42" s="668">
        <f t="shared" si="12"/>
        <v>100</v>
      </c>
      <c r="T42" s="667" t="s">
        <v>18</v>
      </c>
      <c r="U42" s="668">
        <f t="shared" si="13"/>
        <v>100</v>
      </c>
      <c r="V42" s="667" t="s">
        <v>18</v>
      </c>
      <c r="W42" s="668">
        <f t="shared" si="14"/>
        <v>100</v>
      </c>
      <c r="X42" s="1262"/>
      <c r="Y42" s="3399"/>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6"/>
      <c r="M43" s="2481"/>
      <c r="N43" s="2481"/>
      <c r="O43" s="2481"/>
      <c r="P43" s="3397"/>
      <c r="Q43" s="1260" t="str">
        <f t="shared" si="11"/>
        <v>内部装修维护情况</v>
      </c>
      <c r="R43" s="667" t="s">
        <v>18</v>
      </c>
      <c r="S43" s="668">
        <f t="shared" si="12"/>
        <v>100</v>
      </c>
      <c r="T43" s="667" t="s">
        <v>18</v>
      </c>
      <c r="U43" s="668">
        <f t="shared" si="13"/>
        <v>100</v>
      </c>
      <c r="V43" s="667" t="s">
        <v>18</v>
      </c>
      <c r="W43" s="668">
        <f t="shared" si="14"/>
        <v>100</v>
      </c>
      <c r="X43" s="1262"/>
      <c r="Y43" s="3399"/>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2"/>
      <c r="M44" s="2434"/>
      <c r="N44" s="2434"/>
      <c r="O44" s="2434"/>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6"/>
      <c r="M45" s="2481"/>
      <c r="N45" s="2481"/>
      <c r="O45" s="2481"/>
      <c r="P45" s="3397"/>
      <c r="Q45" s="1260">
        <f t="shared" si="11"/>
        <v>111</v>
      </c>
      <c r="R45" s="667" t="s">
        <v>18</v>
      </c>
      <c r="S45" s="668">
        <f t="shared" si="12"/>
        <v>100</v>
      </c>
      <c r="T45" s="667" t="s">
        <v>18</v>
      </c>
      <c r="U45" s="668">
        <f t="shared" si="13"/>
        <v>100</v>
      </c>
      <c r="V45" s="667" t="s">
        <v>18</v>
      </c>
      <c r="W45" s="668">
        <f t="shared" si="14"/>
        <v>100</v>
      </c>
      <c r="X45" s="1262"/>
      <c r="Y45" s="3399"/>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6"/>
      <c r="M46" s="2481"/>
      <c r="N46" s="2481"/>
      <c r="O46" s="2481"/>
      <c r="P46" s="3398"/>
      <c r="Q46" s="1260">
        <f t="shared" si="11"/>
        <v>111</v>
      </c>
      <c r="R46" s="667" t="s">
        <v>17</v>
      </c>
      <c r="S46" s="668">
        <f t="shared" si="12"/>
        <v>100</v>
      </c>
      <c r="T46" s="667" t="s">
        <v>17</v>
      </c>
      <c r="U46" s="668">
        <f t="shared" si="13"/>
        <v>100</v>
      </c>
      <c r="V46" s="667" t="s">
        <v>17</v>
      </c>
      <c r="W46" s="668">
        <f t="shared" si="14"/>
        <v>100</v>
      </c>
      <c r="X46" s="1262"/>
      <c r="Y46" s="3400"/>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88"/>
      <c r="M47" s="2481"/>
      <c r="N47" s="2481"/>
      <c r="O47" s="2481"/>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79" t="e">
        <f>R49</f>
        <v>#DIV/0!</v>
      </c>
      <c r="D48" s="2137" t="s">
        <v>2138</v>
      </c>
      <c r="E48" s="1080" t="e">
        <f>R48</f>
        <v>#DIV/0!</v>
      </c>
      <c r="F48" s="2138"/>
      <c r="G48" s="1079" t="e">
        <f>T48</f>
        <v>#DIV/0!</v>
      </c>
      <c r="H48" s="2138"/>
      <c r="I48" s="1080" t="e">
        <f>V48</f>
        <v>#DIV/0!</v>
      </c>
      <c r="J48" s="2138"/>
      <c r="K48" s="2139">
        <f>F48+H48+J48</f>
        <v>0</v>
      </c>
      <c r="L48" s="2488"/>
      <c r="M48" s="2481"/>
      <c r="N48" s="2481"/>
      <c r="O48" s="2481"/>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88"/>
      <c r="M49" s="2481"/>
      <c r="N49" s="2481"/>
      <c r="O49" s="2481"/>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7"/>
    </row>
    <row r="55" spans="1:29" s="437"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8" t="s">
        <v>1714</v>
      </c>
      <c r="B57" s="385"/>
      <c r="C57" s="659"/>
      <c r="D57" s="659"/>
      <c r="E57" s="659"/>
      <c r="F57" s="660"/>
      <c r="G57" s="660"/>
      <c r="H57" s="659"/>
      <c r="I57" s="659"/>
      <c r="J57" s="659"/>
      <c r="K57" s="884"/>
      <c r="L57" s="885"/>
      <c r="M57" s="883"/>
      <c r="N57" s="883"/>
      <c r="O57" s="883"/>
      <c r="P57" s="1768"/>
      <c r="Q57" s="439"/>
    </row>
    <row r="58" spans="1:29" s="442" customFormat="1" ht="15">
      <c r="A58" s="440" t="s">
        <v>1715</v>
      </c>
      <c r="B58" s="441"/>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1688</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1734</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1735</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08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84373.10000000002</v>
      </c>
      <c r="E3" s="1802"/>
      <c r="F3" s="853"/>
      <c r="G3" s="852"/>
      <c r="H3" s="852"/>
      <c r="I3" s="852"/>
      <c r="J3" s="852"/>
      <c r="K3" s="854"/>
      <c r="L3" s="2497"/>
      <c r="M3" s="2498"/>
      <c r="N3" s="2498"/>
      <c r="O3" s="2498"/>
      <c r="P3" s="1801"/>
      <c r="Q3" s="856"/>
      <c r="R3" s="856"/>
      <c r="S3" s="856"/>
      <c r="T3" s="856"/>
      <c r="U3" s="856"/>
      <c r="V3" s="856"/>
      <c r="W3" s="856"/>
      <c r="X3" s="856"/>
      <c r="Y3" s="856"/>
      <c r="Z3" s="856"/>
      <c r="AA3" s="856"/>
      <c r="AB3" s="856"/>
      <c r="AC3" s="1802"/>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90" t="s">
        <v>1775</v>
      </c>
      <c r="Q4" s="3491"/>
      <c r="R4" s="3494" t="s">
        <v>1771</v>
      </c>
      <c r="S4" s="3495"/>
      <c r="T4" s="3494" t="s">
        <v>1772</v>
      </c>
      <c r="U4" s="3495"/>
      <c r="V4" s="3388" t="s">
        <v>1773</v>
      </c>
      <c r="W4" s="3388"/>
      <c r="X4" s="1262"/>
      <c r="Y4" s="3494" t="s">
        <v>1775</v>
      </c>
      <c r="Z4" s="3495"/>
      <c r="AA4" s="3489" t="s">
        <v>1771</v>
      </c>
      <c r="AB4" s="3388" t="s">
        <v>1772</v>
      </c>
      <c r="AC4" s="3489" t="s">
        <v>1773</v>
      </c>
    </row>
    <row r="5" spans="1:29" ht="15">
      <c r="A5" s="348"/>
      <c r="B5" s="349"/>
      <c r="C5" s="3429" t="s">
        <v>1673</v>
      </c>
      <c r="D5" s="3424"/>
      <c r="E5" s="3496" t="s">
        <v>1674</v>
      </c>
      <c r="F5" s="3437"/>
      <c r="G5" s="3429" t="s">
        <v>1675</v>
      </c>
      <c r="H5" s="3424"/>
      <c r="I5" s="3429" t="s">
        <v>1676</v>
      </c>
      <c r="J5" s="3424"/>
      <c r="K5" s="537"/>
      <c r="L5" s="2480"/>
      <c r="M5" s="2481"/>
      <c r="N5" s="2481"/>
      <c r="O5" s="2481"/>
      <c r="P5" s="3492"/>
      <c r="Q5" s="3411"/>
      <c r="R5" s="3416"/>
      <c r="S5" s="3417"/>
      <c r="T5" s="3416"/>
      <c r="U5" s="3417"/>
      <c r="V5" s="3388"/>
      <c r="W5" s="3388"/>
      <c r="X5" s="1262"/>
      <c r="Y5" s="3416"/>
      <c r="Z5" s="3417"/>
      <c r="AA5" s="3434"/>
      <c r="AB5" s="3388"/>
      <c r="AC5" s="3434"/>
    </row>
    <row r="6" spans="1:29" ht="15.75" thickBot="1">
      <c r="A6" s="350"/>
      <c r="B6" s="351"/>
      <c r="C6" s="3421" t="s">
        <v>1677</v>
      </c>
      <c r="D6" s="3422"/>
      <c r="E6" s="3431" t="s">
        <v>1677</v>
      </c>
      <c r="F6" s="3432"/>
      <c r="G6" s="3421" t="s">
        <v>1677</v>
      </c>
      <c r="H6" s="3422"/>
      <c r="I6" s="3421" t="s">
        <v>1677</v>
      </c>
      <c r="J6" s="3422"/>
      <c r="K6" s="537" t="s">
        <v>1678</v>
      </c>
      <c r="L6" s="2480"/>
      <c r="M6" s="2481"/>
      <c r="N6" s="2481"/>
      <c r="O6" s="2481"/>
      <c r="P6" s="3493"/>
      <c r="Q6" s="3413"/>
      <c r="R6" s="3416"/>
      <c r="S6" s="3417"/>
      <c r="T6" s="3418"/>
      <c r="U6" s="3419"/>
      <c r="V6" s="3388"/>
      <c r="W6" s="3388"/>
      <c r="X6" s="1262"/>
      <c r="Y6" s="3418"/>
      <c r="Z6" s="3419"/>
      <c r="AA6" s="3435"/>
      <c r="AB6" s="3388"/>
      <c r="AC6" s="3435"/>
    </row>
    <row r="7" spans="1:29" s="102" customFormat="1" ht="15.75" thickBot="1">
      <c r="A7" s="352" t="s">
        <v>1679</v>
      </c>
      <c r="B7" s="353"/>
      <c r="C7" s="354">
        <f>'数据-取费表'!B2</f>
        <v>45635</v>
      </c>
      <c r="D7" s="355">
        <v>100</v>
      </c>
      <c r="E7" s="356"/>
      <c r="F7" s="357">
        <f>SUMIF(58:58,YEAR(E7)&amp;"-"&amp;MONTH(E7),59:59)</f>
        <v>0</v>
      </c>
      <c r="G7" s="356"/>
      <c r="H7" s="355">
        <f>SUMIF(58:58,YEAR(G7)&amp;"-"&amp;MONTH(G7),59:59)</f>
        <v>0</v>
      </c>
      <c r="I7" s="356"/>
      <c r="J7" s="355">
        <f>SUMIF(58:58,YEAR(I7)&amp;"-"&amp;MONTH(I7),59:59)</f>
        <v>0</v>
      </c>
      <c r="K7" s="38"/>
      <c r="L7" s="2482"/>
      <c r="M7" s="2434"/>
      <c r="N7" s="2434"/>
      <c r="O7" s="2434"/>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2"/>
      <c r="M8" s="2434"/>
      <c r="N8" s="2434"/>
      <c r="O8" s="2434"/>
      <c r="P8" s="3427" t="s">
        <v>1683</v>
      </c>
      <c r="Q8" s="3426"/>
      <c r="R8" s="664" t="s">
        <v>14</v>
      </c>
      <c r="S8" s="665">
        <f t="shared" si="0"/>
        <v>100</v>
      </c>
      <c r="T8" s="664" t="s">
        <v>14</v>
      </c>
      <c r="U8" s="665">
        <f t="shared" si="1"/>
        <v>100</v>
      </c>
      <c r="V8" s="664" t="s">
        <v>14</v>
      </c>
      <c r="W8" s="665">
        <f t="shared" si="2"/>
        <v>100</v>
      </c>
      <c r="X8" s="666"/>
      <c r="Y8" s="3427" t="s">
        <v>1683</v>
      </c>
      <c r="Z8" s="342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2"/>
      <c r="M9" s="2434"/>
      <c r="N9" s="2434"/>
      <c r="O9" s="2434"/>
      <c r="P9" s="3386"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8"/>
      <c r="F10" s="364">
        <f>SUMIF(65:65,E10,66:66)-SUMIF(65:65,C10,66:66)+100</f>
        <v>100</v>
      </c>
      <c r="G10" s="3097"/>
      <c r="H10" s="119">
        <f>SUMIF(65:65,G10,66:66)-SUMIF(65:65,C10,66:66)+100</f>
        <v>100</v>
      </c>
      <c r="I10" s="3097"/>
      <c r="J10" s="119">
        <f>SUMIF(65:65,I10,66:66)-SUMIF(65:65,C10,66:66)+100</f>
        <v>100</v>
      </c>
      <c r="K10" s="38"/>
      <c r="L10" s="2483"/>
      <c r="M10" s="2484"/>
      <c r="N10" s="2484"/>
      <c r="O10" s="2484"/>
      <c r="P10" s="3386"/>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5"/>
      <c r="M11" s="2481"/>
      <c r="N11" s="2481"/>
      <c r="O11" s="2481"/>
      <c r="P11" s="3386"/>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4"/>
      <c r="N12" s="2434"/>
      <c r="O12" s="2434"/>
      <c r="P12" s="3386"/>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86"/>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86"/>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15">
      <c r="A15" s="379" t="s">
        <v>1690</v>
      </c>
      <c r="B15" s="58" t="s">
        <v>1777</v>
      </c>
      <c r="C15" s="1747"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6"/>
      <c r="M15" s="2481"/>
      <c r="N15" s="2481"/>
      <c r="O15" s="2481"/>
      <c r="P15" s="3392" t="s">
        <v>1691</v>
      </c>
      <c r="Q15" s="1260" t="str">
        <f t="shared" si="6"/>
        <v>商业繁华度</v>
      </c>
      <c r="R15" s="667" t="s">
        <v>14</v>
      </c>
      <c r="S15" s="668">
        <f t="shared" si="0"/>
        <v>100</v>
      </c>
      <c r="T15" s="667" t="s">
        <v>14</v>
      </c>
      <c r="U15" s="668">
        <f t="shared" si="1"/>
        <v>100</v>
      </c>
      <c r="V15" s="667" t="s">
        <v>14</v>
      </c>
      <c r="W15" s="668">
        <f t="shared" si="2"/>
        <v>100</v>
      </c>
      <c r="X15" s="1262"/>
      <c r="Y15" s="3394"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6"/>
      <c r="M16" s="2481"/>
      <c r="N16" s="2481"/>
      <c r="O16" s="2481"/>
      <c r="P16" s="3393"/>
      <c r="Q16" s="1260"/>
      <c r="R16" s="667"/>
      <c r="S16" s="668"/>
      <c r="T16" s="667"/>
      <c r="U16" s="668"/>
      <c r="V16" s="667"/>
      <c r="W16" s="668"/>
      <c r="X16" s="1262"/>
      <c r="Y16" s="3395"/>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6"/>
      <c r="M17" s="2481"/>
      <c r="N17" s="2481"/>
      <c r="O17" s="2481"/>
      <c r="P17" s="3393"/>
      <c r="Q17" s="1260" t="str">
        <f>B17</f>
        <v>交通便捷度</v>
      </c>
      <c r="R17" s="667" t="s">
        <v>14</v>
      </c>
      <c r="S17" s="668">
        <f>F17</f>
        <v>100</v>
      </c>
      <c r="T17" s="667" t="s">
        <v>14</v>
      </c>
      <c r="U17" s="668">
        <f>H17</f>
        <v>100</v>
      </c>
      <c r="V17" s="667" t="s">
        <v>14</v>
      </c>
      <c r="W17" s="668">
        <f>J17</f>
        <v>100</v>
      </c>
      <c r="X17" s="1262"/>
      <c r="Y17" s="339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6"/>
      <c r="M18" s="2481"/>
      <c r="N18" s="2481"/>
      <c r="O18" s="2481"/>
      <c r="P18" s="3393"/>
      <c r="Q18" s="1260"/>
      <c r="R18" s="667"/>
      <c r="S18" s="668"/>
      <c r="T18" s="667"/>
      <c r="U18" s="668"/>
      <c r="V18" s="667"/>
      <c r="W18" s="668"/>
      <c r="X18" s="1262"/>
      <c r="Y18" s="3395"/>
      <c r="Z18" s="1261"/>
      <c r="AA18" s="1261">
        <v>1</v>
      </c>
      <c r="AB18" s="1261">
        <v>1</v>
      </c>
      <c r="AC18" s="1261">
        <v>1</v>
      </c>
    </row>
    <row r="19" spans="1:29" ht="15">
      <c r="A19" s="367"/>
      <c r="B19" s="390" t="s">
        <v>1778</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6"/>
      <c r="M19" s="2481"/>
      <c r="N19" s="2481"/>
      <c r="O19" s="2481"/>
      <c r="P19" s="3393"/>
      <c r="Q19" s="1260" t="str">
        <f>B19</f>
        <v>公共配套设施</v>
      </c>
      <c r="R19" s="667" t="s">
        <v>14</v>
      </c>
      <c r="S19" s="668">
        <f>F19</f>
        <v>100</v>
      </c>
      <c r="T19" s="667" t="s">
        <v>14</v>
      </c>
      <c r="U19" s="668">
        <f>H19</f>
        <v>100</v>
      </c>
      <c r="V19" s="667" t="s">
        <v>14</v>
      </c>
      <c r="W19" s="668">
        <f>J19</f>
        <v>100</v>
      </c>
      <c r="X19" s="1262"/>
      <c r="Y19" s="339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6"/>
      <c r="M20" s="2481"/>
      <c r="N20" s="2481"/>
      <c r="O20" s="2481"/>
      <c r="P20" s="3393"/>
      <c r="Q20" s="1260"/>
      <c r="R20" s="667"/>
      <c r="S20" s="668"/>
      <c r="T20" s="667"/>
      <c r="U20" s="668"/>
      <c r="V20" s="667"/>
      <c r="W20" s="668"/>
      <c r="X20" s="1262"/>
      <c r="Y20" s="3395"/>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6"/>
      <c r="M21" s="2481"/>
      <c r="N21" s="2481"/>
      <c r="O21" s="2481"/>
      <c r="P21" s="3393"/>
      <c r="Q21" s="1260" t="str">
        <f>B21</f>
        <v>基础设施水平</v>
      </c>
      <c r="R21" s="667" t="s">
        <v>14</v>
      </c>
      <c r="S21" s="668">
        <f>F21</f>
        <v>100</v>
      </c>
      <c r="T21" s="667" t="s">
        <v>14</v>
      </c>
      <c r="U21" s="668">
        <f>H21</f>
        <v>100</v>
      </c>
      <c r="V21" s="667" t="s">
        <v>14</v>
      </c>
      <c r="W21" s="668">
        <f>J21</f>
        <v>100</v>
      </c>
      <c r="X21" s="1262"/>
      <c r="Y21" s="339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86"/>
      <c r="M22" s="2481"/>
      <c r="N22" s="2481"/>
      <c r="O22" s="2481"/>
      <c r="P22" s="3393"/>
      <c r="Q22" s="1260"/>
      <c r="R22" s="667"/>
      <c r="S22" s="668"/>
      <c r="T22" s="667"/>
      <c r="U22" s="668"/>
      <c r="V22" s="667"/>
      <c r="W22" s="668"/>
      <c r="X22" s="1262"/>
      <c r="Y22" s="3395"/>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6"/>
      <c r="M23" s="2481"/>
      <c r="N23" s="2481"/>
      <c r="O23" s="2481"/>
      <c r="P23" s="3393"/>
      <c r="Q23" s="1260" t="str">
        <f>B23</f>
        <v>自然及人文环境</v>
      </c>
      <c r="R23" s="667" t="s">
        <v>14</v>
      </c>
      <c r="S23" s="668">
        <f>F23</f>
        <v>100</v>
      </c>
      <c r="T23" s="667" t="s">
        <v>14</v>
      </c>
      <c r="U23" s="668">
        <f>H23</f>
        <v>100</v>
      </c>
      <c r="V23" s="667" t="s">
        <v>14</v>
      </c>
      <c r="W23" s="668">
        <f>J23</f>
        <v>100</v>
      </c>
      <c r="X23" s="1262"/>
      <c r="Y23" s="3395"/>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6"/>
      <c r="M24" s="2481"/>
      <c r="N24" s="2481"/>
      <c r="O24" s="2481"/>
      <c r="P24" s="3393"/>
      <c r="Q24" s="1260"/>
      <c r="R24" s="667"/>
      <c r="S24" s="668"/>
      <c r="T24" s="667"/>
      <c r="U24" s="668"/>
      <c r="V24" s="667"/>
      <c r="W24" s="668"/>
      <c r="X24" s="1262"/>
      <c r="Y24" s="3395"/>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6"/>
      <c r="M25" s="2481"/>
      <c r="N25" s="2481"/>
      <c r="O25" s="2481"/>
      <c r="P25" s="3393"/>
      <c r="Q25" s="1260" t="str">
        <f t="shared" ref="Q25:Q46" si="11">B25</f>
        <v>临街状况</v>
      </c>
      <c r="R25" s="667" t="s">
        <v>14</v>
      </c>
      <c r="S25" s="668">
        <f>F25</f>
        <v>100</v>
      </c>
      <c r="T25" s="667" t="s">
        <v>14</v>
      </c>
      <c r="U25" s="668">
        <f>H25</f>
        <v>100</v>
      </c>
      <c r="V25" s="667" t="s">
        <v>14</v>
      </c>
      <c r="W25" s="668">
        <f>J25</f>
        <v>100</v>
      </c>
      <c r="X25" s="1262"/>
      <c r="Y25" s="3395"/>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c r="M26" s="2481"/>
      <c r="N26" s="2481"/>
      <c r="O26" s="2481"/>
      <c r="P26" s="3393"/>
      <c r="Q26" s="1260" t="str">
        <f t="shared" si="11"/>
        <v>平面位置/可视性</v>
      </c>
      <c r="R26" s="667" t="s">
        <v>14</v>
      </c>
      <c r="S26" s="668">
        <f>F26</f>
        <v>100</v>
      </c>
      <c r="T26" s="667" t="s">
        <v>14</v>
      </c>
      <c r="U26" s="668">
        <f>H26</f>
        <v>100</v>
      </c>
      <c r="V26" s="667" t="s">
        <v>14</v>
      </c>
      <c r="W26" s="668">
        <f>J26</f>
        <v>100</v>
      </c>
      <c r="X26" s="1262"/>
      <c r="Y26" s="3395"/>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2"/>
      <c r="M27" s="2434"/>
      <c r="N27" s="2434"/>
      <c r="O27" s="2434"/>
      <c r="P27" s="3393"/>
      <c r="Q27" s="530" t="str">
        <f t="shared" si="11"/>
        <v>人流量</v>
      </c>
      <c r="R27" s="664" t="s">
        <v>14</v>
      </c>
      <c r="S27" s="665">
        <f>F27</f>
        <v>100</v>
      </c>
      <c r="T27" s="664" t="s">
        <v>14</v>
      </c>
      <c r="U27" s="665">
        <f>H27</f>
        <v>100</v>
      </c>
      <c r="V27" s="664" t="s">
        <v>14</v>
      </c>
      <c r="W27" s="665">
        <f>J27</f>
        <v>100</v>
      </c>
      <c r="X27" s="666"/>
      <c r="Y27" s="3395"/>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6"/>
      <c r="M28" s="2481"/>
      <c r="N28" s="2481"/>
      <c r="O28" s="2481"/>
      <c r="P28" s="3393"/>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95"/>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93"/>
      <c r="Q29" s="1260">
        <f t="shared" si="11"/>
        <v>111</v>
      </c>
      <c r="R29" s="667" t="s">
        <v>14</v>
      </c>
      <c r="S29" s="668">
        <f t="shared" si="12"/>
        <v>100</v>
      </c>
      <c r="T29" s="667" t="s">
        <v>14</v>
      </c>
      <c r="U29" s="668">
        <f t="shared" si="13"/>
        <v>100</v>
      </c>
      <c r="V29" s="667" t="s">
        <v>14</v>
      </c>
      <c r="W29" s="668">
        <f t="shared" si="14"/>
        <v>100</v>
      </c>
      <c r="X29" s="1262"/>
      <c r="Y29" s="3395"/>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93"/>
      <c r="Q30" s="1260">
        <f t="shared" si="11"/>
        <v>111</v>
      </c>
      <c r="R30" s="667" t="s">
        <v>14</v>
      </c>
      <c r="S30" s="668">
        <f t="shared" si="12"/>
        <v>100</v>
      </c>
      <c r="T30" s="667" t="s">
        <v>14</v>
      </c>
      <c r="U30" s="668">
        <f t="shared" si="13"/>
        <v>100</v>
      </c>
      <c r="V30" s="667" t="s">
        <v>14</v>
      </c>
      <c r="W30" s="668">
        <f t="shared" si="14"/>
        <v>100</v>
      </c>
      <c r="X30" s="1262"/>
      <c r="Y30" s="3395"/>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93"/>
      <c r="Q31" s="1260">
        <f t="shared" si="11"/>
        <v>111</v>
      </c>
      <c r="R31" s="667" t="s">
        <v>14</v>
      </c>
      <c r="S31" s="668">
        <f t="shared" si="12"/>
        <v>100</v>
      </c>
      <c r="T31" s="667" t="s">
        <v>14</v>
      </c>
      <c r="U31" s="668">
        <f t="shared" si="13"/>
        <v>100</v>
      </c>
      <c r="V31" s="667" t="s">
        <v>14</v>
      </c>
      <c r="W31" s="668">
        <f t="shared" si="14"/>
        <v>100</v>
      </c>
      <c r="X31" s="1262"/>
      <c r="Y31" s="3395"/>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6"/>
      <c r="M32" s="2481"/>
      <c r="N32" s="2481"/>
      <c r="O32" s="2481"/>
      <c r="P32" s="3396" t="s">
        <v>1696</v>
      </c>
      <c r="Q32" s="1260" t="str">
        <f t="shared" si="11"/>
        <v>商业类型</v>
      </c>
      <c r="R32" s="667" t="s">
        <v>14</v>
      </c>
      <c r="S32" s="668">
        <f t="shared" si="12"/>
        <v>100</v>
      </c>
      <c r="T32" s="667" t="s">
        <v>14</v>
      </c>
      <c r="U32" s="668">
        <f t="shared" si="13"/>
        <v>100</v>
      </c>
      <c r="V32" s="667" t="s">
        <v>14</v>
      </c>
      <c r="W32" s="668">
        <f t="shared" si="14"/>
        <v>100</v>
      </c>
      <c r="X32" s="1262"/>
      <c r="Y32" s="339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5"/>
      <c r="M33" s="2487"/>
      <c r="N33" s="2487"/>
      <c r="O33" s="2487"/>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6"/>
      <c r="M34" s="2481"/>
      <c r="N34" s="2481"/>
      <c r="O34" s="2481"/>
      <c r="P34" s="3397"/>
      <c r="Q34" s="1260" t="str">
        <f t="shared" si="11"/>
        <v>建筑结构</v>
      </c>
      <c r="R34" s="667" t="s">
        <v>14</v>
      </c>
      <c r="S34" s="668">
        <f t="shared" si="12"/>
        <v>100</v>
      </c>
      <c r="T34" s="667" t="s">
        <v>14</v>
      </c>
      <c r="U34" s="668">
        <f t="shared" si="13"/>
        <v>100</v>
      </c>
      <c r="V34" s="667" t="s">
        <v>14</v>
      </c>
      <c r="W34" s="668">
        <f t="shared" si="14"/>
        <v>100</v>
      </c>
      <c r="X34" s="1262"/>
      <c r="Y34" s="339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6"/>
      <c r="M35" s="2481"/>
      <c r="N35" s="2481"/>
      <c r="O35" s="2481"/>
      <c r="P35" s="3397"/>
      <c r="Q35" s="1260" t="str">
        <f t="shared" si="11"/>
        <v>公共部分装修</v>
      </c>
      <c r="R35" s="667" t="s">
        <v>14</v>
      </c>
      <c r="S35" s="668">
        <f t="shared" si="12"/>
        <v>100</v>
      </c>
      <c r="T35" s="667" t="s">
        <v>14</v>
      </c>
      <c r="U35" s="668">
        <f t="shared" si="13"/>
        <v>100</v>
      </c>
      <c r="V35" s="667" t="s">
        <v>14</v>
      </c>
      <c r="W35" s="668">
        <f t="shared" si="14"/>
        <v>100</v>
      </c>
      <c r="X35" s="1262"/>
      <c r="Y35" s="3399"/>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6"/>
      <c r="M36" s="2481"/>
      <c r="N36" s="2481"/>
      <c r="O36" s="2481"/>
      <c r="P36" s="3397"/>
      <c r="Q36" s="1260" t="str">
        <f t="shared" si="11"/>
        <v>成新度</v>
      </c>
      <c r="R36" s="667" t="s">
        <v>14</v>
      </c>
      <c r="S36" s="668" t="e">
        <f t="shared" si="12"/>
        <v>#N/A</v>
      </c>
      <c r="T36" s="667" t="s">
        <v>14</v>
      </c>
      <c r="U36" s="668" t="e">
        <f t="shared" si="13"/>
        <v>#N/A</v>
      </c>
      <c r="V36" s="667" t="s">
        <v>14</v>
      </c>
      <c r="W36" s="668" t="e">
        <f t="shared" si="14"/>
        <v>#N/A</v>
      </c>
      <c r="X36" s="1262"/>
      <c r="Y36" s="3399"/>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2"/>
      <c r="M37" s="2434"/>
      <c r="N37" s="2434"/>
      <c r="O37" s="2434"/>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6"/>
      <c r="M38" s="2481"/>
      <c r="N38" s="2481"/>
      <c r="O38" s="2481"/>
      <c r="P38" s="3397" t="s">
        <v>1696</v>
      </c>
      <c r="Q38" s="1260" t="str">
        <f t="shared" si="11"/>
        <v>业态</v>
      </c>
      <c r="R38" s="667" t="s">
        <v>14</v>
      </c>
      <c r="S38" s="668">
        <f t="shared" si="12"/>
        <v>100</v>
      </c>
      <c r="T38" s="667" t="s">
        <v>14</v>
      </c>
      <c r="U38" s="668">
        <f t="shared" si="13"/>
        <v>100</v>
      </c>
      <c r="V38" s="667" t="s">
        <v>14</v>
      </c>
      <c r="W38" s="668">
        <f t="shared" si="14"/>
        <v>100</v>
      </c>
      <c r="X38" s="1262"/>
      <c r="Y38" s="339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6"/>
      <c r="M39" s="2481"/>
      <c r="N39" s="2481"/>
      <c r="O39" s="2481"/>
      <c r="P39" s="3397"/>
      <c r="Q39" s="1260" t="str">
        <f t="shared" si="11"/>
        <v>层高</v>
      </c>
      <c r="R39" s="667" t="s">
        <v>14</v>
      </c>
      <c r="S39" s="668">
        <f t="shared" si="12"/>
        <v>100</v>
      </c>
      <c r="T39" s="667" t="s">
        <v>14</v>
      </c>
      <c r="U39" s="668">
        <f t="shared" si="13"/>
        <v>100</v>
      </c>
      <c r="V39" s="667" t="s">
        <v>14</v>
      </c>
      <c r="W39" s="668">
        <f t="shared" si="14"/>
        <v>100</v>
      </c>
      <c r="X39" s="1262"/>
      <c r="Y39" s="3399"/>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97"/>
      <c r="Q40" s="1260" t="str">
        <f t="shared" si="11"/>
        <v>单套建筑面积</v>
      </c>
      <c r="R40" s="667" t="s">
        <v>14</v>
      </c>
      <c r="S40" s="668">
        <f t="shared" si="12"/>
        <v>100</v>
      </c>
      <c r="T40" s="667" t="s">
        <v>14</v>
      </c>
      <c r="U40" s="668">
        <f t="shared" si="13"/>
        <v>100</v>
      </c>
      <c r="V40" s="667" t="s">
        <v>14</v>
      </c>
      <c r="W40" s="668">
        <f t="shared" si="14"/>
        <v>100</v>
      </c>
      <c r="X40" s="1262"/>
      <c r="Y40" s="3399"/>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6"/>
      <c r="M42" s="2481"/>
      <c r="N42" s="2481"/>
      <c r="O42" s="2481"/>
      <c r="P42" s="3397"/>
      <c r="Q42" s="1260" t="str">
        <f t="shared" si="11"/>
        <v>内部装修</v>
      </c>
      <c r="R42" s="667" t="s">
        <v>14</v>
      </c>
      <c r="S42" s="668">
        <f t="shared" si="12"/>
        <v>100</v>
      </c>
      <c r="T42" s="667" t="s">
        <v>14</v>
      </c>
      <c r="U42" s="668">
        <f t="shared" si="13"/>
        <v>100</v>
      </c>
      <c r="V42" s="667" t="s">
        <v>14</v>
      </c>
      <c r="W42" s="668">
        <f t="shared" si="14"/>
        <v>100</v>
      </c>
      <c r="X42" s="1262"/>
      <c r="Y42" s="339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6"/>
      <c r="M43" s="2481"/>
      <c r="N43" s="2481"/>
      <c r="O43" s="2481"/>
      <c r="P43" s="3397"/>
      <c r="Q43" s="1260" t="str">
        <f t="shared" si="11"/>
        <v>内部装修维护情况</v>
      </c>
      <c r="R43" s="667" t="s">
        <v>14</v>
      </c>
      <c r="S43" s="668">
        <f t="shared" si="12"/>
        <v>100</v>
      </c>
      <c r="T43" s="667" t="s">
        <v>14</v>
      </c>
      <c r="U43" s="668">
        <f t="shared" si="13"/>
        <v>100</v>
      </c>
      <c r="V43" s="667" t="s">
        <v>14</v>
      </c>
      <c r="W43" s="668">
        <f t="shared" si="14"/>
        <v>100</v>
      </c>
      <c r="X43" s="1262"/>
      <c r="Y43" s="339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4"/>
      <c r="N44" s="2434"/>
      <c r="O44" s="2434"/>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97"/>
      <c r="Q45" s="1260">
        <f t="shared" si="11"/>
        <v>111</v>
      </c>
      <c r="R45" s="667" t="s">
        <v>14</v>
      </c>
      <c r="S45" s="668">
        <f t="shared" si="12"/>
        <v>100</v>
      </c>
      <c r="T45" s="667" t="s">
        <v>14</v>
      </c>
      <c r="U45" s="668">
        <f t="shared" si="13"/>
        <v>100</v>
      </c>
      <c r="V45" s="667" t="s">
        <v>14</v>
      </c>
      <c r="W45" s="668">
        <f t="shared" si="14"/>
        <v>100</v>
      </c>
      <c r="X45" s="1262"/>
      <c r="Y45" s="3399"/>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98"/>
      <c r="Q46" s="1260">
        <f t="shared" si="11"/>
        <v>111</v>
      </c>
      <c r="R46" s="667" t="s">
        <v>14</v>
      </c>
      <c r="S46" s="668">
        <f t="shared" si="12"/>
        <v>100</v>
      </c>
      <c r="T46" s="667" t="s">
        <v>14</v>
      </c>
      <c r="U46" s="668">
        <f t="shared" si="13"/>
        <v>100</v>
      </c>
      <c r="V46" s="667" t="s">
        <v>14</v>
      </c>
      <c r="W46" s="668">
        <f t="shared" si="14"/>
        <v>100</v>
      </c>
      <c r="X46" s="1262"/>
      <c r="Y46" s="3400"/>
      <c r="Z46" s="1261">
        <f t="shared" si="15"/>
        <v>111</v>
      </c>
      <c r="AA46" s="1261">
        <f t="shared" si="3"/>
        <v>1</v>
      </c>
      <c r="AB46" s="1261">
        <f t="shared" si="4"/>
        <v>1</v>
      </c>
      <c r="AC46" s="1261">
        <f t="shared" si="5"/>
        <v>1</v>
      </c>
    </row>
    <row r="47" spans="1:29" ht="15">
      <c r="A47" s="416" t="s">
        <v>1708</v>
      </c>
      <c r="B47" s="417"/>
      <c r="C47" s="1078" t="s">
        <v>0</v>
      </c>
      <c r="D47" s="418"/>
      <c r="E47" s="419"/>
      <c r="F47" s="420"/>
      <c r="G47" s="421"/>
      <c r="H47" s="422"/>
      <c r="I47" s="419"/>
      <c r="J47" s="422"/>
      <c r="K47" s="674"/>
      <c r="L47" s="2488"/>
      <c r="M47" s="2481"/>
      <c r="N47" s="2481"/>
      <c r="O47" s="2481"/>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1793</v>
      </c>
      <c r="B48" s="424"/>
      <c r="C48" s="1079" t="e">
        <f>R49</f>
        <v>#DIV/0!</v>
      </c>
      <c r="D48" s="2137" t="s">
        <v>2138</v>
      </c>
      <c r="E48" s="1080" t="e">
        <f>R48</f>
        <v>#DIV/0!</v>
      </c>
      <c r="F48" s="2138"/>
      <c r="G48" s="1079" t="e">
        <f>T48</f>
        <v>#DIV/0!</v>
      </c>
      <c r="H48" s="2138"/>
      <c r="I48" s="1080" t="e">
        <f>V48</f>
        <v>#DIV/0!</v>
      </c>
      <c r="J48" s="2138"/>
      <c r="K48" s="2140">
        <f>F48+H48+J48</f>
        <v>0</v>
      </c>
      <c r="L48" s="2488"/>
      <c r="M48" s="2481"/>
      <c r="N48" s="2481"/>
      <c r="O48" s="2481"/>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8"/>
      <c r="M49" s="2481"/>
      <c r="N49" s="2481"/>
      <c r="O49" s="2481"/>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8" t="s">
        <v>1798</v>
      </c>
      <c r="B57" s="385"/>
      <c r="C57" s="659"/>
      <c r="D57" s="659"/>
      <c r="E57" s="659"/>
      <c r="F57" s="660"/>
      <c r="G57" s="660"/>
      <c r="H57" s="659"/>
      <c r="I57" s="659"/>
      <c r="J57" s="659"/>
      <c r="K57" s="661"/>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1679</v>
      </c>
      <c r="B58" s="441"/>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3"/>
      <c r="Q58" s="2504"/>
      <c r="R58" s="2504"/>
      <c r="S58" s="2504"/>
      <c r="T58" s="2504"/>
      <c r="U58" s="2504"/>
      <c r="V58" s="2504"/>
      <c r="W58" s="2504"/>
      <c r="X58" s="2504"/>
      <c r="Y58" s="2504"/>
      <c r="Z58" s="2504"/>
      <c r="AA58" s="2504"/>
      <c r="AB58" s="2504"/>
      <c r="AC58" s="2504"/>
    </row>
    <row r="59" spans="1:29" s="102" customFormat="1" ht="15">
      <c r="A59" s="443"/>
      <c r="B59" s="444"/>
      <c r="C59" s="1099">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7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5">
      <c r="A61" s="455" t="s">
        <v>1681</v>
      </c>
      <c r="B61" s="444"/>
      <c r="C61" s="456" t="s">
        <v>1776</v>
      </c>
      <c r="D61" s="31"/>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5.75" thickBot="1">
      <c r="A62" s="455"/>
      <c r="B62" s="444"/>
      <c r="C62" s="445">
        <v>100</v>
      </c>
      <c r="D62" s="446"/>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c r="A63" s="379" t="s">
        <v>1719</v>
      </c>
      <c r="B63" s="460" t="s">
        <v>1685</v>
      </c>
      <c r="C63" s="461">
        <f>C9</f>
        <v>0</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1688</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c r="D68" s="480"/>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1779</v>
      </c>
      <c r="C82" s="581" t="s">
        <v>1799</v>
      </c>
      <c r="D82" s="581" t="s">
        <v>1800</v>
      </c>
      <c r="E82" s="581" t="s">
        <v>1801</v>
      </c>
      <c r="F82" s="581" t="s">
        <v>1802</v>
      </c>
      <c r="G82" s="581" t="s">
        <v>1803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1804</v>
      </c>
      <c r="C86" s="485"/>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6"/>
      <c r="O87" s="2516"/>
      <c r="P87" s="2507"/>
      <c r="Q87" s="2502"/>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485"/>
      <c r="D88" s="485"/>
      <c r="E88" s="485"/>
      <c r="F88" s="1777"/>
      <c r="G88" s="485"/>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5.75" thickBot="1">
      <c r="A89" s="370"/>
      <c r="B89" s="474"/>
      <c r="C89" s="491"/>
      <c r="D89" s="467"/>
      <c r="E89" s="467"/>
      <c r="F89" s="467"/>
      <c r="G89" s="467"/>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75" thickTop="1">
      <c r="A90" s="484"/>
      <c r="B90" s="469" t="str">
        <f>B27</f>
        <v>人流量</v>
      </c>
      <c r="C90" s="485"/>
      <c r="D90" s="485"/>
      <c r="E90" s="485"/>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485"/>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1694</v>
      </c>
      <c r="B100" s="460" t="s">
        <v>1805</v>
      </c>
      <c r="C100" s="462"/>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c r="D103" s="6"/>
      <c r="E103" s="6"/>
      <c r="F103" s="6"/>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491"/>
      <c r="D104" s="467"/>
      <c r="E104" s="467"/>
      <c r="F104" s="467"/>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485"/>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485"/>
      <c r="D114" s="485"/>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485"/>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485"/>
      <c r="D122" s="485"/>
      <c r="E122" s="485"/>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C28" zoomScale="85" zoomScaleNormal="70" zoomScaleSheetLayoutView="85" workbookViewId="0">
      <selection activeCell="C36" sqref="C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21</v>
      </c>
      <c r="D1" s="1268" t="s">
        <v>43</v>
      </c>
      <c r="E1" s="1269" t="s">
        <v>678</v>
      </c>
      <c r="F1" s="996">
        <f ca="1">J53</f>
        <v>29.75</v>
      </c>
      <c r="G1" s="1283">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253604</v>
      </c>
      <c r="C2" s="1286" t="s">
        <v>805</v>
      </c>
      <c r="D2" s="1286"/>
      <c r="E2" s="1292"/>
      <c r="F2" s="1293"/>
      <c r="G2" s="2472"/>
      <c r="H2" s="2462"/>
      <c r="I2" s="2462"/>
      <c r="J2" s="2462"/>
      <c r="K2" s="2463"/>
      <c r="L2" s="2462"/>
      <c r="M2" s="2462"/>
    </row>
    <row r="3" spans="1:37" ht="18" customHeight="1" thickBot="1">
      <c r="A3" s="1294" t="s">
        <v>806</v>
      </c>
      <c r="B3" s="1295">
        <f ca="1">IF(ISERROR(B2*10000/F43),0,ROUND(B2*10000/F43,0))</f>
        <v>71841</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15094</v>
      </c>
      <c r="D5" s="1270" t="s">
        <v>693</v>
      </c>
      <c r="E5" s="1005"/>
      <c r="F5" s="1006"/>
      <c r="G5" s="1289"/>
      <c r="H5" s="291">
        <v>1</v>
      </c>
      <c r="I5" s="292" t="s">
        <v>692</v>
      </c>
      <c r="J5" s="1004">
        <f ca="1">J6+J10+J12</f>
        <v>0</v>
      </c>
      <c r="K5" s="1270" t="s">
        <v>693</v>
      </c>
      <c r="L5" s="1005"/>
      <c r="M5" s="1006"/>
    </row>
    <row r="6" spans="1:37" ht="18" customHeight="1">
      <c r="A6" s="1003" t="s">
        <v>398</v>
      </c>
      <c r="B6" s="3464" t="s">
        <v>694</v>
      </c>
      <c r="C6" s="1008">
        <f ca="1">ROUND(F6*F8*F7*(1-F9)/10000,0)</f>
        <v>15075</v>
      </c>
      <c r="D6" s="147" t="s">
        <v>2109</v>
      </c>
      <c r="E6" s="294" t="s">
        <v>696</v>
      </c>
      <c r="F6" s="295">
        <f ca="1">INDIRECT("'数据-取费表'!u"&amp;$G$1)</f>
        <v>13</v>
      </c>
      <c r="G6" s="1289"/>
      <c r="H6" s="1003" t="s">
        <v>398</v>
      </c>
      <c r="I6" s="3464" t="s">
        <v>694</v>
      </c>
      <c r="J6" s="293">
        <f ca="1">ROUND(M6*M8*M7*(1-M9)/10000,0)</f>
        <v>0</v>
      </c>
      <c r="K6" s="147" t="s">
        <v>2108</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35300.840000000011</v>
      </c>
      <c r="G7" s="1289"/>
      <c r="H7" s="296"/>
      <c r="I7" s="3465"/>
      <c r="J7" s="298"/>
      <c r="K7" s="299"/>
      <c r="L7" s="294" t="s">
        <v>697</v>
      </c>
      <c r="M7" s="295">
        <f ca="1">F7</f>
        <v>35300.840000000011</v>
      </c>
    </row>
    <row r="8" spans="1:37" ht="18" customHeight="1">
      <c r="A8" s="296"/>
      <c r="B8" s="3465"/>
      <c r="C8" s="298"/>
      <c r="D8" s="299"/>
      <c r="E8" s="294" t="s">
        <v>698</v>
      </c>
      <c r="F8" s="295">
        <f ca="1">INDIRECT("'数据-取费表'!ai"&amp;$G$1)</f>
        <v>365</v>
      </c>
      <c r="G8" s="1289"/>
      <c r="H8" s="296"/>
      <c r="I8" s="3465"/>
      <c r="J8" s="298"/>
      <c r="K8" s="299"/>
      <c r="L8" s="294" t="s">
        <v>698</v>
      </c>
      <c r="M8" s="295">
        <f ca="1">INDIRECT("'数据-取费表'!ai"&amp;$G$1)</f>
        <v>365</v>
      </c>
    </row>
    <row r="9" spans="1:37" ht="18" customHeight="1">
      <c r="A9" s="296"/>
      <c r="B9" s="3466"/>
      <c r="C9" s="298"/>
      <c r="D9" s="299"/>
      <c r="E9" s="294" t="s">
        <v>699</v>
      </c>
      <c r="F9" s="304">
        <f ca="1">INDIRECT("'数据-取费表'!w"&amp;$G$1)</f>
        <v>0.1</v>
      </c>
      <c r="G9" s="1289"/>
      <c r="H9" s="296"/>
      <c r="I9" s="3466"/>
      <c r="J9" s="298"/>
      <c r="K9" s="299"/>
      <c r="L9" s="305" t="s">
        <v>699</v>
      </c>
      <c r="M9" s="306">
        <f ca="1">INDIRECT("'数据-取费表'!ab"&amp;$G$1)</f>
        <v>0</v>
      </c>
    </row>
    <row r="10" spans="1:37" ht="18" customHeight="1">
      <c r="A10" s="1003" t="s">
        <v>402</v>
      </c>
      <c r="B10" s="1271" t="s">
        <v>700</v>
      </c>
      <c r="C10" s="308">
        <f ca="1">ROUND(IF(F10="押一",C6/12*F11,IF(F10="押二",C6/12*2*F11,IF(F10="押三",C6/12*3*F11,C11*F11))),0)</f>
        <v>19</v>
      </c>
      <c r="D10" s="150" t="s">
        <v>2116</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42131</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26476</v>
      </c>
      <c r="D14" s="1254" t="s">
        <v>708</v>
      </c>
      <c r="E14" s="1252"/>
      <c r="F14" s="311"/>
      <c r="G14" s="1289"/>
      <c r="H14" s="925" t="s">
        <v>398</v>
      </c>
      <c r="I14" s="294" t="s">
        <v>709</v>
      </c>
      <c r="J14" s="21">
        <f ca="1">C29</f>
        <v>42131</v>
      </c>
      <c r="K14" s="12"/>
      <c r="L14" s="756"/>
      <c r="M14" s="757"/>
    </row>
    <row r="15" spans="1:37" s="1301" customFormat="1" ht="18" customHeight="1" thickBot="1">
      <c r="A15" s="925" t="s">
        <v>399</v>
      </c>
      <c r="B15" s="294" t="s">
        <v>710</v>
      </c>
      <c r="C15" s="21">
        <f ca="1">ROUND(C14*F15,0)</f>
        <v>2118</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137</v>
      </c>
      <c r="K16" s="1021" t="s">
        <v>715</v>
      </c>
      <c r="L16" s="1022"/>
      <c r="M16" s="1006"/>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6">
        <f ca="1">ROUND(IF(AND(项目基本情况!B11="自然人",项目基本情况!B10="北京市"),J6*M17/(1+'数据-取费表'!C42),J18+J19+J20),2)</f>
        <v>10.64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530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29830</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895</v>
      </c>
      <c r="D20" s="315" t="s">
        <v>729</v>
      </c>
      <c r="E20" s="294" t="s">
        <v>712</v>
      </c>
      <c r="F20" s="314">
        <f>'数据-取费表'!B37</f>
        <v>0.03</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126.39</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1440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-137</v>
      </c>
      <c r="K25" s="1029" t="s">
        <v>753</v>
      </c>
      <c r="L25" s="1030"/>
      <c r="M25" s="1031"/>
    </row>
    <row r="26" spans="1:37">
      <c r="A26" s="925" t="s">
        <v>397</v>
      </c>
      <c r="B26" s="294" t="s">
        <v>754</v>
      </c>
      <c r="C26" s="21">
        <f ca="1">ROUND((C19+C20)*F26,0)</f>
        <v>6145</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42131</v>
      </c>
      <c r="D29" s="1026"/>
      <c r="E29" s="1024"/>
      <c r="F29" s="1027"/>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2781</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2537.5</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804</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1722.86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10.64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4431.55</v>
      </c>
      <c r="G35" s="1289"/>
      <c r="H35" s="2464"/>
      <c r="I35" s="1302"/>
      <c r="J35" s="1303"/>
      <c r="K35" s="2468"/>
      <c r="L35" s="2467"/>
      <c r="M35" s="2467"/>
    </row>
    <row r="36" spans="1:18" ht="18" customHeight="1">
      <c r="A36" s="1036" t="s">
        <v>402</v>
      </c>
      <c r="B36" s="294" t="s">
        <v>738</v>
      </c>
      <c r="C36" s="21">
        <f ca="1">ROUND(C29*F36,2)</f>
        <v>126.39</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42.13</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75.47</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12313</v>
      </c>
      <c r="D39" s="1029" t="s">
        <v>753</v>
      </c>
      <c r="E39" s="1030"/>
      <c r="F39" s="1031"/>
      <c r="G39" s="1289"/>
      <c r="H39" s="2467"/>
      <c r="I39" s="1302"/>
      <c r="J39" s="1303"/>
      <c r="K39" s="2465"/>
      <c r="L39" s="2467"/>
      <c r="M39" s="2467"/>
    </row>
    <row r="40" spans="1:18" ht="18" customHeight="1">
      <c r="A40" s="291" t="s">
        <v>395</v>
      </c>
      <c r="B40" s="292" t="s">
        <v>774</v>
      </c>
      <c r="C40" s="293">
        <f ca="1">ROUND(C39*(1-((1+F42)/(1+F40))^F41)/(F40-F42),0)</f>
        <v>251213</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71163</v>
      </c>
      <c r="D43" s="328" t="s">
        <v>777</v>
      </c>
      <c r="E43" s="329" t="s">
        <v>778</v>
      </c>
      <c r="F43" s="330">
        <f ca="1">INDIRECT("'数据-取费表'!k"&amp;$G$1)</f>
        <v>35300.840000000011</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-253820</v>
      </c>
      <c r="D46" s="1310" t="str">
        <f>C2</f>
        <v>万元</v>
      </c>
      <c r="E46" s="1304"/>
      <c r="F46" s="1304"/>
      <c r="I46" s="1311" t="s">
        <v>810</v>
      </c>
      <c r="J46" s="1312"/>
      <c r="K46" s="1313"/>
      <c r="L46" s="1314">
        <f ca="1">IF(M47="住宅",0,IF(L48&gt;J51,L60,J60))</f>
        <v>2391</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251213</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2391</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42131</v>
      </c>
      <c r="R49" s="1324" t="s">
        <v>818</v>
      </c>
    </row>
    <row r="50" spans="1:18" s="1289" customFormat="1" ht="13.5" thickBot="1">
      <c r="A50" s="919"/>
      <c r="B50" s="922"/>
      <c r="C50" s="1052"/>
      <c r="D50" s="896"/>
      <c r="E50" s="990" t="s">
        <v>697</v>
      </c>
      <c r="F50" s="991">
        <f ca="1">F7</f>
        <v>35300.840000000011</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176749</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62" t="s">
        <v>837</v>
      </c>
      <c r="L53" s="3463"/>
      <c r="O53" s="1322" t="s">
        <v>409</v>
      </c>
      <c r="P53" s="1323" t="s">
        <v>838</v>
      </c>
      <c r="Q53" s="1324">
        <f ca="1">Q47+Q48</f>
        <v>253604</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42131</v>
      </c>
      <c r="D56" s="1349"/>
      <c r="E56" s="1350"/>
      <c r="F56" s="1342"/>
      <c r="I56" s="1351" t="s">
        <v>842</v>
      </c>
      <c r="J56" s="1352" t="s">
        <v>3554</v>
      </c>
      <c r="K56" s="1325" t="s">
        <v>843</v>
      </c>
      <c r="L56" s="1328" t="str">
        <f ca="1">IF(L48&lt;J51,"——",L48-J53)</f>
        <v>——</v>
      </c>
      <c r="O56" s="1322" t="s">
        <v>403</v>
      </c>
      <c r="P56" s="1323" t="s">
        <v>817</v>
      </c>
      <c r="Q56" s="1324">
        <f ca="1">C40+J29</f>
        <v>251213</v>
      </c>
      <c r="R56" s="1324" t="s">
        <v>818</v>
      </c>
    </row>
    <row r="57" spans="1:18" s="1289" customFormat="1" ht="24.75" thickBot="1">
      <c r="A57" s="1353"/>
      <c r="B57" s="893" t="s">
        <v>767</v>
      </c>
      <c r="C57" s="230">
        <f ca="1">C29</f>
        <v>42131</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180</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11</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20560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2391</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251213</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126.39</v>
      </c>
      <c r="D64" s="907" t="s">
        <v>771</v>
      </c>
      <c r="E64" s="893" t="s">
        <v>712</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42.13</v>
      </c>
      <c r="D65" s="907" t="s">
        <v>743</v>
      </c>
      <c r="E65" s="893" t="s">
        <v>712</v>
      </c>
      <c r="F65" s="321">
        <f t="shared" ca="1" si="0"/>
        <v>1E-3</v>
      </c>
      <c r="I65" s="1364" t="s">
        <v>867</v>
      </c>
      <c r="J65" s="610">
        <v>40</v>
      </c>
      <c r="K65" s="610">
        <v>30</v>
      </c>
      <c r="L65" s="610">
        <v>50</v>
      </c>
      <c r="M65" s="1366">
        <v>0.02</v>
      </c>
      <c r="O65" s="1322" t="s">
        <v>403</v>
      </c>
      <c r="P65" s="1323" t="s">
        <v>817</v>
      </c>
      <c r="Q65" s="1324">
        <f ca="1">C40+J29</f>
        <v>251213</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-180</v>
      </c>
      <c r="D67" s="906" t="s">
        <v>753</v>
      </c>
      <c r="E67" s="911"/>
      <c r="F67" s="912"/>
      <c r="O67" s="1331" t="s">
        <v>405</v>
      </c>
      <c r="P67" s="1323" t="s">
        <v>850</v>
      </c>
      <c r="Q67" s="1367">
        <f ca="1">L51</f>
        <v>176749</v>
      </c>
      <c r="R67" s="1324" t="s">
        <v>870</v>
      </c>
    </row>
    <row r="68" spans="1:18" s="1289" customFormat="1" ht="16.5" thickBot="1">
      <c r="A68" s="890" t="s">
        <v>395</v>
      </c>
      <c r="B68" s="891" t="s">
        <v>774</v>
      </c>
      <c r="C68" s="293">
        <f ca="1">ROUND(C67*(1-((1+F70)/(1+F68))^F69)/(F68-F70),0)</f>
        <v>-2607</v>
      </c>
      <c r="D68" s="908" t="s">
        <v>758</v>
      </c>
      <c r="E68" s="893" t="s">
        <v>759</v>
      </c>
      <c r="F68" s="304">
        <f ca="1">F40</f>
        <v>5.5E-2</v>
      </c>
      <c r="O68" s="1331" t="s">
        <v>406</v>
      </c>
      <c r="P68" s="1368" t="s">
        <v>871</v>
      </c>
      <c r="Q68" s="1324">
        <f ca="1">ROUND(Q69-Q70*Q71,0)</f>
        <v>9364</v>
      </c>
      <c r="R68" s="1324" t="s">
        <v>414</v>
      </c>
    </row>
    <row r="69" spans="1:18" s="1289" customFormat="1" ht="13.5" thickBot="1">
      <c r="A69" s="894"/>
      <c r="B69" s="895"/>
      <c r="C69" s="298"/>
      <c r="D69" s="913" t="s">
        <v>762</v>
      </c>
      <c r="E69" s="893" t="s">
        <v>763</v>
      </c>
      <c r="F69" s="324">
        <f ca="1">F41</f>
        <v>29.75</v>
      </c>
      <c r="O69" s="1331" t="s">
        <v>411</v>
      </c>
      <c r="P69" s="1368" t="s">
        <v>872</v>
      </c>
      <c r="Q69" s="1324">
        <f ca="1">C39</f>
        <v>12313</v>
      </c>
      <c r="R69" s="1324" t="s">
        <v>818</v>
      </c>
    </row>
    <row r="70" spans="1:18" s="1289" customFormat="1" ht="13.5" thickBot="1">
      <c r="A70" s="897"/>
      <c r="B70" s="898"/>
      <c r="C70" s="302"/>
      <c r="D70" s="909"/>
      <c r="E70" s="893" t="s">
        <v>766</v>
      </c>
      <c r="F70" s="988"/>
      <c r="O70" s="1331" t="s">
        <v>412</v>
      </c>
      <c r="P70" s="1368" t="s">
        <v>873</v>
      </c>
      <c r="Q70" s="1324">
        <f ca="1">C13</f>
        <v>42131</v>
      </c>
      <c r="R70" s="1324" t="s">
        <v>818</v>
      </c>
    </row>
    <row r="71" spans="1:18" s="1289" customFormat="1" ht="13.5" thickBot="1">
      <c r="A71" s="914" t="s">
        <v>396</v>
      </c>
      <c r="B71" s="915" t="s">
        <v>776</v>
      </c>
      <c r="C71" s="327">
        <f ca="1">ROUND(C68*10000/F71,0)</f>
        <v>-739</v>
      </c>
      <c r="D71" s="916" t="s">
        <v>777</v>
      </c>
      <c r="E71" s="917" t="s">
        <v>778</v>
      </c>
      <c r="F71" s="330">
        <f ca="1">F43</f>
        <v>35300.840000000011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2949</v>
      </c>
      <c r="D75" s="1289"/>
      <c r="E75" s="1289"/>
      <c r="F75" s="1289"/>
      <c r="K75" s="1306"/>
      <c r="L75" s="1289"/>
      <c r="O75" s="1322" t="s">
        <v>409</v>
      </c>
      <c r="P75" s="1323" t="s">
        <v>838</v>
      </c>
      <c r="Q75" s="1324">
        <f ca="1">Q65+Q66</f>
        <v>251213</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0.83199999999999996</v>
      </c>
    </row>
    <row r="83" spans="2:3">
      <c r="B83" s="265" t="s">
        <v>803</v>
      </c>
      <c r="C83" s="266">
        <f ca="1">ROUND(C13/C40,3)</f>
        <v>0.16800000000000001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5" zoomScale="85" zoomScaleNormal="70" zoomScaleSheetLayoutView="85" workbookViewId="0">
      <selection activeCell="C37" sqref="C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3555</v>
      </c>
      <c r="D1" s="1268" t="s">
        <v>43</v>
      </c>
      <c r="E1" s="1269" t="s">
        <v>678</v>
      </c>
      <c r="F1" s="996">
        <f ca="1">J53</f>
        <v>29.75</v>
      </c>
      <c r="G1" s="1283">
        <f>MATCH(C1,'数据-取费表'!A6:A16,0)+5</f>
        <v>8</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10343</v>
      </c>
      <c r="C2" s="1286" t="s">
        <v>805</v>
      </c>
      <c r="D2" s="1286"/>
      <c r="E2" s="1292"/>
      <c r="F2" s="1293"/>
      <c r="G2" s="2472"/>
      <c r="H2" s="2462"/>
      <c r="I2" s="2462"/>
      <c r="J2" s="2462"/>
      <c r="K2" s="2463"/>
      <c r="L2" s="2462"/>
      <c r="M2" s="2462"/>
    </row>
    <row r="3" spans="1:37" ht="18" customHeight="1" thickBot="1">
      <c r="A3" s="1294" t="s">
        <v>806</v>
      </c>
      <c r="B3" s="1295">
        <f ca="1">IF(ISERROR(B2*10000/F43),0,ROUND(B2*10000/F43,0))</f>
        <v>7084</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620</v>
      </c>
      <c r="D5" s="1270" t="s">
        <v>693</v>
      </c>
      <c r="E5" s="1005"/>
      <c r="F5" s="1006"/>
      <c r="G5" s="1289"/>
      <c r="H5" s="291">
        <v>1</v>
      </c>
      <c r="I5" s="292" t="s">
        <v>692</v>
      </c>
      <c r="J5" s="1004">
        <f ca="1">J6+J10+J12</f>
        <v>0</v>
      </c>
      <c r="K5" s="1270" t="s">
        <v>693</v>
      </c>
      <c r="L5" s="1005"/>
      <c r="M5" s="1006"/>
    </row>
    <row r="6" spans="1:37" ht="18" customHeight="1">
      <c r="A6" s="1003" t="s">
        <v>398</v>
      </c>
      <c r="B6" s="3464" t="s">
        <v>694</v>
      </c>
      <c r="C6" s="1008">
        <f ca="1">ROUND(F6*F8*F7*(1-F9)/10000,0)</f>
        <v>620</v>
      </c>
      <c r="D6" s="147" t="s">
        <v>2109</v>
      </c>
      <c r="E6" s="294" t="s">
        <v>696</v>
      </c>
      <c r="F6" s="295">
        <f ca="1">INDIRECT("'数据-取费表'!u"&amp;$G$1)</f>
        <v>2000</v>
      </c>
      <c r="G6" s="1289"/>
      <c r="H6" s="1003" t="s">
        <v>398</v>
      </c>
      <c r="I6" s="3464" t="s">
        <v>694</v>
      </c>
      <c r="J6" s="293">
        <f ca="1">ROUND(M6*M8*M7*(1-M9)/10000,0)</f>
        <v>0</v>
      </c>
      <c r="K6" s="147" t="s">
        <v>2108</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287</v>
      </c>
      <c r="G7" s="1289"/>
      <c r="H7" s="296"/>
      <c r="I7" s="3465"/>
      <c r="J7" s="298"/>
      <c r="K7" s="299"/>
      <c r="L7" s="294" t="s">
        <v>697</v>
      </c>
      <c r="M7" s="295">
        <f ca="1">F7</f>
        <v>287</v>
      </c>
    </row>
    <row r="8" spans="1:37" ht="18" customHeight="1">
      <c r="A8" s="296"/>
      <c r="B8" s="3465"/>
      <c r="C8" s="298"/>
      <c r="D8" s="299"/>
      <c r="E8" s="294" t="s">
        <v>698</v>
      </c>
      <c r="F8" s="295">
        <f ca="1">INDIRECT("'数据-取费表'!ai"&amp;$G$1)</f>
        <v>12</v>
      </c>
      <c r="G8" s="1289"/>
      <c r="H8" s="296"/>
      <c r="I8" s="3465"/>
      <c r="J8" s="298"/>
      <c r="K8" s="299"/>
      <c r="L8" s="294" t="s">
        <v>698</v>
      </c>
      <c r="M8" s="295">
        <f ca="1">INDIRECT("'数据-取费表'!ai"&amp;$G$1)</f>
        <v>12</v>
      </c>
    </row>
    <row r="9" spans="1:37" ht="18" customHeight="1">
      <c r="A9" s="296"/>
      <c r="B9" s="3466"/>
      <c r="C9" s="298"/>
      <c r="D9" s="299"/>
      <c r="E9" s="294" t="s">
        <v>699</v>
      </c>
      <c r="F9" s="304">
        <f ca="1">INDIRECT("'数据-取费表'!w"&amp;$G$1)</f>
        <v>0.1</v>
      </c>
      <c r="G9" s="1289"/>
      <c r="H9" s="296"/>
      <c r="I9" s="346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3600</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15975</v>
      </c>
      <c r="D13" s="1015" t="s">
        <v>705</v>
      </c>
      <c r="E13" s="1015" t="s">
        <v>706</v>
      </c>
      <c r="F13" s="1016">
        <f ca="1">INDIRECT("'数据-取费表'!y"&amp;$G$1)</f>
        <v>1</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10951</v>
      </c>
      <c r="D14" s="1254" t="s">
        <v>708</v>
      </c>
      <c r="E14" s="1252"/>
      <c r="F14" s="311"/>
      <c r="G14" s="1289"/>
      <c r="H14" s="925" t="s">
        <v>398</v>
      </c>
      <c r="I14" s="294" t="s">
        <v>709</v>
      </c>
      <c r="J14" s="21">
        <f ca="1">C29</f>
        <v>15975</v>
      </c>
      <c r="K14" s="12"/>
      <c r="L14" s="756"/>
      <c r="M14" s="757"/>
    </row>
    <row r="15" spans="1:37" s="1301" customFormat="1" ht="18" customHeight="1" thickBot="1">
      <c r="A15" s="925" t="s">
        <v>399</v>
      </c>
      <c r="B15" s="294" t="s">
        <v>710</v>
      </c>
      <c r="C15" s="21">
        <f ca="1">ROUND(C14*F15,0)</f>
        <v>876</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36</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6">
        <f ca="1">ROUND(IF(AND(项目基本情况!B11="自然人",项目基本情况!B10="北京市"),J6*M17/(1+'数据-取费表'!C42),J18+J19+J20),2)</f>
        <v>4.4000000000000004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219</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12338</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370</v>
      </c>
      <c r="D20" s="315" t="s">
        <v>729</v>
      </c>
      <c r="E20" s="294" t="s">
        <v>712</v>
      </c>
      <c r="F20" s="314">
        <f>'数据-取费表'!B37</f>
        <v>0.03</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31.95</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595</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-36</v>
      </c>
      <c r="K25" s="1029" t="s">
        <v>753</v>
      </c>
      <c r="L25" s="1030"/>
      <c r="M25" s="1031"/>
    </row>
    <row r="26" spans="1:37">
      <c r="A26" s="925" t="s">
        <v>397</v>
      </c>
      <c r="B26" s="294" t="s">
        <v>754</v>
      </c>
      <c r="C26" s="21">
        <f ca="1">ROUND((C19+C20)*F26,0)</f>
        <v>1271</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15975</v>
      </c>
      <c r="D29" s="1026"/>
      <c r="E29" s="1024"/>
      <c r="F29" s="1027"/>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159</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108.33</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4.4000000000000004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1832.97</v>
      </c>
      <c r="G35" s="1289"/>
      <c r="H35" s="2464"/>
      <c r="I35" s="1302"/>
      <c r="J35" s="1303"/>
      <c r="K35" s="2468"/>
      <c r="L35" s="2467"/>
      <c r="M35" s="2467"/>
    </row>
    <row r="36" spans="1:18" ht="18" customHeight="1">
      <c r="A36" s="1036" t="s">
        <v>402</v>
      </c>
      <c r="B36" s="294" t="s">
        <v>738</v>
      </c>
      <c r="C36" s="21">
        <f ca="1">ROUND(C29*F36,2)</f>
        <v>31.95</v>
      </c>
      <c r="D36" s="1253" t="s">
        <v>771</v>
      </c>
      <c r="E36" s="294" t="s">
        <v>712</v>
      </c>
      <c r="F36" s="320">
        <f ca="1">INDIRECT("'数据-取费表'!Ak"&amp;$G$1)</f>
        <v>2E-3</v>
      </c>
      <c r="G36" s="1289"/>
      <c r="H36" s="2467"/>
      <c r="I36" s="1302"/>
      <c r="J36" s="1303"/>
      <c r="K36" s="2325"/>
      <c r="L36" s="2467"/>
      <c r="M36" s="2467"/>
    </row>
    <row r="37" spans="1:18" ht="18" customHeight="1">
      <c r="A37" s="925" t="s">
        <v>437</v>
      </c>
      <c r="B37" s="294" t="s">
        <v>742</v>
      </c>
      <c r="C37" s="21">
        <f ca="1">ROUND(C13*F37,2)</f>
        <v>15.98</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3.1</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461</v>
      </c>
      <c r="D39" s="1029" t="s">
        <v>753</v>
      </c>
      <c r="E39" s="1030"/>
      <c r="F39" s="1031"/>
      <c r="G39" s="1289"/>
      <c r="H39" s="2467"/>
      <c r="I39" s="1302"/>
      <c r="J39" s="1303"/>
      <c r="K39" s="2465"/>
      <c r="L39" s="2467"/>
      <c r="M39" s="2467"/>
    </row>
    <row r="40" spans="1:18" ht="18" customHeight="1">
      <c r="A40" s="291" t="s">
        <v>395</v>
      </c>
      <c r="B40" s="292" t="s">
        <v>774</v>
      </c>
      <c r="C40" s="293">
        <f ca="1">ROUND(C39*(1-((1+F42)/(1+F40))^F41)/(F40-F42),0)</f>
        <v>9436</v>
      </c>
      <c r="D40" s="316" t="s">
        <v>758</v>
      </c>
      <c r="E40" s="294" t="s">
        <v>759</v>
      </c>
      <c r="F40" s="304">
        <f ca="1">INDIRECT("'数据-取费表'!I"&amp;$G$1)</f>
        <v>0.05</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2.5000000000000001E-2</v>
      </c>
      <c r="G42" s="1289"/>
      <c r="H42" s="121"/>
      <c r="I42" s="1302"/>
      <c r="J42" s="1303"/>
      <c r="K42" s="2325"/>
      <c r="L42" s="121"/>
      <c r="M42" s="121"/>
    </row>
    <row r="43" spans="1:18" ht="18" customHeight="1" thickBot="1">
      <c r="A43" s="325" t="s">
        <v>396</v>
      </c>
      <c r="B43" s="326" t="s">
        <v>776</v>
      </c>
      <c r="C43" s="327">
        <f ca="1">ROUND(C40*10000/F43,0)</f>
        <v>6463</v>
      </c>
      <c r="D43" s="328" t="s">
        <v>777</v>
      </c>
      <c r="E43" s="329" t="s">
        <v>778</v>
      </c>
      <c r="F43" s="330">
        <f ca="1">INDIRECT("'数据-取费表'!k"&amp;$G$1)</f>
        <v>14601.09</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-10232</v>
      </c>
      <c r="D46" s="1310" t="str">
        <f>C2</f>
        <v>万元</v>
      </c>
      <c r="E46" s="1304"/>
      <c r="F46" s="1304"/>
      <c r="I46" s="1311" t="s">
        <v>810</v>
      </c>
      <c r="J46" s="1312"/>
      <c r="K46" s="1313"/>
      <c r="L46" s="1314">
        <f ca="1">IF(M47="住宅",0,IF(L48&gt;J51,L60,J60))</f>
        <v>907</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9436</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907</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15975</v>
      </c>
      <c r="R49" s="1324" t="s">
        <v>818</v>
      </c>
    </row>
    <row r="50" spans="1:18" s="1289" customFormat="1" ht="13.5" thickBot="1">
      <c r="A50" s="919"/>
      <c r="B50" s="922"/>
      <c r="C50" s="1052"/>
      <c r="D50" s="896"/>
      <c r="E50" s="990" t="s">
        <v>697</v>
      </c>
      <c r="F50" s="991">
        <f ca="1">F7</f>
        <v>287</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-13517</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62" t="s">
        <v>837</v>
      </c>
      <c r="L53" s="3463"/>
      <c r="O53" s="1322" t="s">
        <v>409</v>
      </c>
      <c r="P53" s="1323" t="s">
        <v>838</v>
      </c>
      <c r="Q53" s="1324">
        <f ca="1">Q47+Q48</f>
        <v>10343</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15975</v>
      </c>
      <c r="D56" s="1349"/>
      <c r="E56" s="1350"/>
      <c r="F56" s="1342"/>
      <c r="I56" s="1351" t="s">
        <v>842</v>
      </c>
      <c r="J56" s="1352" t="s">
        <v>3554</v>
      </c>
      <c r="K56" s="1325" t="s">
        <v>843</v>
      </c>
      <c r="L56" s="1328" t="str">
        <f ca="1">IF(L48&lt;J51,"——",L48-J53)</f>
        <v>——</v>
      </c>
      <c r="O56" s="1322" t="s">
        <v>403</v>
      </c>
      <c r="P56" s="1323" t="s">
        <v>817</v>
      </c>
      <c r="Q56" s="1324">
        <f ca="1">C40+J29</f>
        <v>9436</v>
      </c>
      <c r="R56" s="1324" t="s">
        <v>818</v>
      </c>
    </row>
    <row r="57" spans="1:18" s="1289" customFormat="1" ht="24.75" thickBot="1">
      <c r="A57" s="1353"/>
      <c r="B57" s="893" t="s">
        <v>767</v>
      </c>
      <c r="C57" s="230">
        <f ca="1">C29</f>
        <v>15975</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52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4</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7796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907</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9436</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31.95</v>
      </c>
      <c r="D64" s="907" t="s">
        <v>771</v>
      </c>
      <c r="E64" s="893" t="s">
        <v>712</v>
      </c>
      <c r="F64" s="320">
        <f t="shared" ca="1" si="0"/>
        <v>2E-3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15.98</v>
      </c>
      <c r="D65" s="907" t="s">
        <v>743</v>
      </c>
      <c r="E65" s="893" t="s">
        <v>712</v>
      </c>
      <c r="F65" s="321">
        <f t="shared" ca="1" si="0"/>
        <v>1E-3</v>
      </c>
      <c r="I65" s="1364" t="s">
        <v>867</v>
      </c>
      <c r="J65" s="610">
        <v>40</v>
      </c>
      <c r="K65" s="610">
        <v>30</v>
      </c>
      <c r="L65" s="610">
        <v>50</v>
      </c>
      <c r="M65" s="1366">
        <v>0.02</v>
      </c>
      <c r="O65" s="1322" t="s">
        <v>403</v>
      </c>
      <c r="P65" s="1323" t="s">
        <v>817</v>
      </c>
      <c r="Q65" s="1324">
        <f ca="1">C40+J29</f>
        <v>9436</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-52</v>
      </c>
      <c r="D67" s="906" t="s">
        <v>753</v>
      </c>
      <c r="E67" s="911"/>
      <c r="F67" s="912"/>
      <c r="O67" s="1331" t="s">
        <v>405</v>
      </c>
      <c r="P67" s="1323" t="s">
        <v>850</v>
      </c>
      <c r="Q67" s="1367">
        <f ca="1">L51</f>
        <v>-13517</v>
      </c>
      <c r="R67" s="1324" t="s">
        <v>870</v>
      </c>
    </row>
    <row r="68" spans="1:18" s="1289" customFormat="1" ht="16.5" thickBot="1">
      <c r="A68" s="890" t="s">
        <v>395</v>
      </c>
      <c r="B68" s="891" t="s">
        <v>774</v>
      </c>
      <c r="C68" s="293">
        <f ca="1">ROUND(C67*(1-((1+F70)/(1+F68))^F69)/(F68-F70),0)</f>
        <v>-796</v>
      </c>
      <c r="D68" s="908" t="s">
        <v>758</v>
      </c>
      <c r="E68" s="893" t="s">
        <v>759</v>
      </c>
      <c r="F68" s="304">
        <f ca="1">F40</f>
        <v>0.05</v>
      </c>
      <c r="O68" s="1331" t="s">
        <v>406</v>
      </c>
      <c r="P68" s="1368" t="s">
        <v>871</v>
      </c>
      <c r="Q68" s="1324">
        <f ca="1">ROUND(Q69-Q70*Q71,0)</f>
        <v>-657</v>
      </c>
      <c r="R68" s="1324" t="s">
        <v>414</v>
      </c>
    </row>
    <row r="69" spans="1:18" s="1289" customFormat="1" ht="13.5" thickBot="1">
      <c r="A69" s="894"/>
      <c r="B69" s="895"/>
      <c r="C69" s="298"/>
      <c r="D69" s="913" t="s">
        <v>762</v>
      </c>
      <c r="E69" s="893" t="s">
        <v>763</v>
      </c>
      <c r="F69" s="324">
        <f ca="1">F41</f>
        <v>29.75</v>
      </c>
      <c r="O69" s="1331" t="s">
        <v>411</v>
      </c>
      <c r="P69" s="1368" t="s">
        <v>872</v>
      </c>
      <c r="Q69" s="1324">
        <f ca="1">C39</f>
        <v>461</v>
      </c>
      <c r="R69" s="1324" t="s">
        <v>818</v>
      </c>
    </row>
    <row r="70" spans="1:18" s="1289" customFormat="1" ht="13.5" thickBot="1">
      <c r="A70" s="897"/>
      <c r="B70" s="898"/>
      <c r="C70" s="302"/>
      <c r="D70" s="909"/>
      <c r="E70" s="893" t="s">
        <v>766</v>
      </c>
      <c r="F70" s="988"/>
      <c r="O70" s="1331" t="s">
        <v>412</v>
      </c>
      <c r="P70" s="1368" t="s">
        <v>873</v>
      </c>
      <c r="Q70" s="1324">
        <f ca="1">C13</f>
        <v>15975</v>
      </c>
      <c r="R70" s="1324" t="s">
        <v>818</v>
      </c>
    </row>
    <row r="71" spans="1:18" s="1289" customFormat="1" ht="13.5" thickBot="1">
      <c r="A71" s="914" t="s">
        <v>396</v>
      </c>
      <c r="B71" s="915" t="s">
        <v>776</v>
      </c>
      <c r="C71" s="327">
        <f ca="1">ROUND(C68*10000/F71,0)</f>
        <v>-545</v>
      </c>
      <c r="D71" s="916" t="s">
        <v>777</v>
      </c>
      <c r="E71" s="917" t="s">
        <v>778</v>
      </c>
      <c r="F71" s="330">
        <f ca="1">F43</f>
        <v>14601.09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1118</v>
      </c>
      <c r="D75" s="1289"/>
      <c r="E75" s="1289"/>
      <c r="F75" s="1289"/>
      <c r="K75" s="1306"/>
      <c r="L75" s="1289"/>
      <c r="O75" s="1322" t="s">
        <v>409</v>
      </c>
      <c r="P75" s="1323" t="s">
        <v>838</v>
      </c>
      <c r="Q75" s="1324">
        <f ca="1">Q65+Q66</f>
        <v>9436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-1.4249999999999998</v>
      </c>
    </row>
    <row r="80" spans="1:18">
      <c r="B80" s="331" t="s">
        <v>800</v>
      </c>
      <c r="C80" s="266">
        <f ca="1">ROUND(C75/C39,3)</f>
        <v>2.4249999999999998</v>
      </c>
    </row>
    <row r="81" spans="2:3">
      <c r="B81" s="262" t="s">
        <v>801</v>
      </c>
      <c r="C81" s="230"/>
    </row>
    <row r="82" spans="2:3">
      <c r="B82" s="265" t="s">
        <v>802</v>
      </c>
      <c r="C82" s="267">
        <f ca="1">1-C83</f>
        <v>-0.69300000000000006</v>
      </c>
    </row>
    <row r="83" spans="2:3">
      <c r="B83" s="265" t="s">
        <v>803</v>
      </c>
      <c r="C83" s="266">
        <f ca="1">ROUND(C13/C40,3)</f>
        <v>1.6930000000000001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09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57"/>
      <c r="M4" s="858"/>
      <c r="N4" s="858"/>
      <c r="O4" s="858"/>
      <c r="P4" s="3490" t="s">
        <v>1775</v>
      </c>
      <c r="Q4" s="3491"/>
      <c r="R4" s="3494" t="s">
        <v>1771</v>
      </c>
      <c r="S4" s="3495"/>
      <c r="T4" s="3494" t="s">
        <v>1772</v>
      </c>
      <c r="U4" s="3495"/>
      <c r="V4" s="3388" t="s">
        <v>1773</v>
      </c>
      <c r="W4" s="3388"/>
      <c r="X4" s="1262"/>
      <c r="Y4" s="3494" t="s">
        <v>1775</v>
      </c>
      <c r="Z4" s="3495"/>
      <c r="AA4" s="3489" t="s">
        <v>1771</v>
      </c>
      <c r="AB4" s="3434" t="s">
        <v>1772</v>
      </c>
      <c r="AC4" s="3489" t="s">
        <v>1773</v>
      </c>
    </row>
    <row r="5" spans="1:29" ht="15">
      <c r="A5" s="348"/>
      <c r="B5" s="349"/>
      <c r="C5" s="3429" t="s">
        <v>1673</v>
      </c>
      <c r="D5" s="3424"/>
      <c r="E5" s="3496" t="s">
        <v>1674</v>
      </c>
      <c r="F5" s="3437"/>
      <c r="G5" s="3429" t="s">
        <v>1675</v>
      </c>
      <c r="H5" s="3424"/>
      <c r="I5" s="3429" t="s">
        <v>1676</v>
      </c>
      <c r="J5" s="3424"/>
      <c r="K5" s="537"/>
      <c r="L5" s="857"/>
      <c r="M5" s="858"/>
      <c r="N5" s="858"/>
      <c r="O5" s="858"/>
      <c r="P5" s="3492"/>
      <c r="Q5" s="3411"/>
      <c r="R5" s="3416"/>
      <c r="S5" s="3417"/>
      <c r="T5" s="3416"/>
      <c r="U5" s="3417"/>
      <c r="V5" s="3388"/>
      <c r="W5" s="3388"/>
      <c r="X5" s="1262"/>
      <c r="Y5" s="3416"/>
      <c r="Z5" s="3417"/>
      <c r="AA5" s="3434"/>
      <c r="AB5" s="3434"/>
      <c r="AC5" s="3434"/>
    </row>
    <row r="6" spans="1:29" ht="15.75" thickBot="1">
      <c r="A6" s="350"/>
      <c r="B6" s="351"/>
      <c r="C6" s="3421" t="s">
        <v>1677</v>
      </c>
      <c r="D6" s="3422"/>
      <c r="E6" s="3431" t="s">
        <v>1677</v>
      </c>
      <c r="F6" s="3432"/>
      <c r="G6" s="3421" t="s">
        <v>1677</v>
      </c>
      <c r="H6" s="3422"/>
      <c r="I6" s="3421" t="s">
        <v>1677</v>
      </c>
      <c r="J6" s="3422"/>
      <c r="K6" s="537" t="s">
        <v>1678</v>
      </c>
      <c r="L6" s="857"/>
      <c r="M6" s="858"/>
      <c r="N6" s="858"/>
      <c r="O6" s="858"/>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59"/>
      <c r="M7" s="860"/>
      <c r="N7" s="860"/>
      <c r="O7" s="860"/>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27" t="s">
        <v>1683</v>
      </c>
      <c r="Q8" s="3426"/>
      <c r="R8" s="664" t="s">
        <v>14</v>
      </c>
      <c r="S8" s="665">
        <f t="shared" si="0"/>
        <v>100</v>
      </c>
      <c r="T8" s="664" t="s">
        <v>14</v>
      </c>
      <c r="U8" s="665">
        <f t="shared" si="1"/>
        <v>100</v>
      </c>
      <c r="V8" s="664" t="s">
        <v>14</v>
      </c>
      <c r="W8" s="665">
        <f t="shared" si="2"/>
        <v>100</v>
      </c>
      <c r="X8" s="666"/>
      <c r="Y8" s="3427" t="s">
        <v>1683</v>
      </c>
      <c r="Z8" s="342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87"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7">
      <c r="A10" s="363"/>
      <c r="B10" s="364" t="s">
        <v>1688</v>
      </c>
      <c r="C10" s="3097"/>
      <c r="D10" s="119">
        <v>100</v>
      </c>
      <c r="E10" s="3097"/>
      <c r="F10" s="119">
        <f>SUMIF(59:59,E10,60:60)-SUMIF(59:59,C10,60:60)+100</f>
        <v>100</v>
      </c>
      <c r="G10" s="3098"/>
      <c r="H10" s="119">
        <f>SUMIF(59:59,G10,60:60)-SUMIF(59:59,C10,60:60)+100</f>
        <v>100</v>
      </c>
      <c r="I10" s="3097"/>
      <c r="J10" s="119">
        <f>SUMIF(59:59,I10,60:60)-SUMIF(59:59,C10,60:60)+100</f>
        <v>100</v>
      </c>
      <c r="K10" s="38"/>
      <c r="L10" s="862"/>
      <c r="M10" s="863"/>
      <c r="N10" s="863"/>
      <c r="O10" s="864"/>
      <c r="P10" s="3387"/>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87"/>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387"/>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387"/>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387"/>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94" t="s">
        <v>1691</v>
      </c>
      <c r="Q15" s="1260" t="str">
        <f t="shared" si="6"/>
        <v>产业集聚程度</v>
      </c>
      <c r="R15" s="667" t="s">
        <v>14</v>
      </c>
      <c r="S15" s="668">
        <f t="shared" si="0"/>
        <v>100</v>
      </c>
      <c r="T15" s="667" t="s">
        <v>14</v>
      </c>
      <c r="U15" s="668">
        <f t="shared" si="1"/>
        <v>100</v>
      </c>
      <c r="V15" s="667" t="s">
        <v>14</v>
      </c>
      <c r="W15" s="668">
        <f t="shared" si="2"/>
        <v>100</v>
      </c>
      <c r="X15" s="1262"/>
      <c r="Y15" s="3394"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95"/>
      <c r="Q16" s="1260"/>
      <c r="R16" s="667"/>
      <c r="S16" s="668"/>
      <c r="T16" s="667"/>
      <c r="U16" s="668"/>
      <c r="V16" s="667"/>
      <c r="W16" s="668"/>
      <c r="X16" s="1262"/>
      <c r="Y16" s="3395"/>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95"/>
      <c r="Q17" s="1260" t="str">
        <f>B17</f>
        <v>交通便捷度</v>
      </c>
      <c r="R17" s="667" t="s">
        <v>14</v>
      </c>
      <c r="S17" s="668">
        <f>F17</f>
        <v>100</v>
      </c>
      <c r="T17" s="667" t="s">
        <v>14</v>
      </c>
      <c r="U17" s="668">
        <f>H17</f>
        <v>100</v>
      </c>
      <c r="V17" s="667" t="s">
        <v>14</v>
      </c>
      <c r="W17" s="668">
        <f>J17</f>
        <v>100</v>
      </c>
      <c r="X17" s="1262"/>
      <c r="Y17" s="3395"/>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95"/>
      <c r="Q18" s="1260"/>
      <c r="R18" s="667"/>
      <c r="S18" s="668"/>
      <c r="T18" s="667"/>
      <c r="U18" s="668"/>
      <c r="V18" s="667"/>
      <c r="W18" s="668"/>
      <c r="X18" s="1262"/>
      <c r="Y18" s="3395"/>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95"/>
      <c r="Q19" s="1260" t="str">
        <f>B19</f>
        <v>公共配套设施</v>
      </c>
      <c r="R19" s="667" t="s">
        <v>14</v>
      </c>
      <c r="S19" s="668">
        <f>F19</f>
        <v>100</v>
      </c>
      <c r="T19" s="667" t="s">
        <v>14</v>
      </c>
      <c r="U19" s="668">
        <f>H19</f>
        <v>100</v>
      </c>
      <c r="V19" s="667" t="s">
        <v>14</v>
      </c>
      <c r="W19" s="668">
        <f>J19</f>
        <v>100</v>
      </c>
      <c r="X19" s="1262"/>
      <c r="Y19" s="3395"/>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95"/>
      <c r="Q20" s="1260"/>
      <c r="R20" s="667"/>
      <c r="S20" s="668"/>
      <c r="T20" s="667"/>
      <c r="U20" s="668"/>
      <c r="V20" s="667"/>
      <c r="W20" s="668"/>
      <c r="X20" s="1262"/>
      <c r="Y20" s="3395"/>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95"/>
      <c r="Q21" s="1260" t="str">
        <f>B21</f>
        <v>基础设施水平</v>
      </c>
      <c r="R21" s="667" t="s">
        <v>14</v>
      </c>
      <c r="S21" s="668">
        <f>F21</f>
        <v>100</v>
      </c>
      <c r="T21" s="667" t="s">
        <v>14</v>
      </c>
      <c r="U21" s="668">
        <f>H21</f>
        <v>100</v>
      </c>
      <c r="V21" s="667" t="s">
        <v>14</v>
      </c>
      <c r="W21" s="668">
        <f>J21</f>
        <v>100</v>
      </c>
      <c r="X21" s="1262"/>
      <c r="Y21" s="3395"/>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395"/>
      <c r="Q22" s="1260"/>
      <c r="R22" s="667"/>
      <c r="S22" s="668"/>
      <c r="T22" s="667"/>
      <c r="U22" s="668"/>
      <c r="V22" s="667"/>
      <c r="W22" s="668"/>
      <c r="X22" s="1262"/>
      <c r="Y22" s="3395"/>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95"/>
      <c r="Q23" s="1260" t="str">
        <f>B23</f>
        <v>环境质量</v>
      </c>
      <c r="R23" s="667" t="s">
        <v>14</v>
      </c>
      <c r="S23" s="668">
        <f>F23</f>
        <v>100</v>
      </c>
      <c r="T23" s="667" t="s">
        <v>14</v>
      </c>
      <c r="U23" s="668">
        <f>H23</f>
        <v>100</v>
      </c>
      <c r="V23" s="667" t="s">
        <v>14</v>
      </c>
      <c r="W23" s="668">
        <f>J23</f>
        <v>100</v>
      </c>
      <c r="X23" s="1262"/>
      <c r="Y23" s="3395"/>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395"/>
      <c r="Q24" s="1260"/>
      <c r="R24" s="667"/>
      <c r="S24" s="668"/>
      <c r="T24" s="667"/>
      <c r="U24" s="668"/>
      <c r="V24" s="667"/>
      <c r="W24" s="668"/>
      <c r="X24" s="1262"/>
      <c r="Y24" s="3395"/>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95"/>
      <c r="Q25" s="1260">
        <f>B25</f>
        <v>111</v>
      </c>
      <c r="R25" s="667" t="s">
        <v>14</v>
      </c>
      <c r="S25" s="668">
        <f>F25</f>
        <v>100</v>
      </c>
      <c r="T25" s="667" t="s">
        <v>14</v>
      </c>
      <c r="U25" s="668">
        <f>H25</f>
        <v>100</v>
      </c>
      <c r="V25" s="667" t="s">
        <v>14</v>
      </c>
      <c r="W25" s="668">
        <f>J25</f>
        <v>100</v>
      </c>
      <c r="X25" s="1262"/>
      <c r="Y25" s="3395"/>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95"/>
      <c r="Q26" s="1260">
        <f t="shared" ref="Q26:Q40" si="11">B26</f>
        <v>111</v>
      </c>
      <c r="R26" s="667" t="s">
        <v>14</v>
      </c>
      <c r="S26" s="668">
        <f>F26</f>
        <v>100</v>
      </c>
      <c r="T26" s="667" t="s">
        <v>14</v>
      </c>
      <c r="U26" s="668">
        <f>H26</f>
        <v>100</v>
      </c>
      <c r="V26" s="667" t="s">
        <v>14</v>
      </c>
      <c r="W26" s="668">
        <f>J26</f>
        <v>100</v>
      </c>
      <c r="X26" s="1262"/>
      <c r="Y26" s="3395"/>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95"/>
      <c r="Q27" s="530">
        <f t="shared" si="11"/>
        <v>111</v>
      </c>
      <c r="R27" s="664" t="s">
        <v>14</v>
      </c>
      <c r="S27" s="665">
        <f>F27</f>
        <v>100</v>
      </c>
      <c r="T27" s="664" t="s">
        <v>14</v>
      </c>
      <c r="U27" s="665">
        <f>H27</f>
        <v>100</v>
      </c>
      <c r="V27" s="664" t="s">
        <v>14</v>
      </c>
      <c r="W27" s="665">
        <f>J27</f>
        <v>100</v>
      </c>
      <c r="X27" s="666"/>
      <c r="Y27" s="3395"/>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95"/>
      <c r="Q28" s="1260">
        <f t="shared" si="11"/>
        <v>111</v>
      </c>
      <c r="R28" s="667" t="s">
        <v>14</v>
      </c>
      <c r="S28" s="668">
        <f t="shared" ref="S28:S40" si="12">F28</f>
        <v>100</v>
      </c>
      <c r="T28" s="667" t="s">
        <v>14</v>
      </c>
      <c r="U28" s="668">
        <f t="shared" ref="U28:U40" si="13">H28</f>
        <v>100</v>
      </c>
      <c r="V28" s="667" t="s">
        <v>14</v>
      </c>
      <c r="W28" s="668">
        <f t="shared" ref="W28:W40" si="14">J28</f>
        <v>100</v>
      </c>
      <c r="X28" s="1262"/>
      <c r="Y28" s="3395"/>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97" t="s">
        <v>1696</v>
      </c>
      <c r="Q29" s="1260" t="str">
        <f t="shared" si="11"/>
        <v>建筑类型</v>
      </c>
      <c r="R29" s="667" t="s">
        <v>14</v>
      </c>
      <c r="S29" s="668">
        <f t="shared" si="12"/>
        <v>100</v>
      </c>
      <c r="T29" s="667" t="s">
        <v>14</v>
      </c>
      <c r="U29" s="668">
        <f t="shared" si="13"/>
        <v>100</v>
      </c>
      <c r="V29" s="667" t="s">
        <v>14</v>
      </c>
      <c r="W29" s="668">
        <f t="shared" si="14"/>
        <v>100</v>
      </c>
      <c r="X29" s="1262"/>
      <c r="Y29" s="3399"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99"/>
      <c r="Q31" s="1260" t="str">
        <f t="shared" si="11"/>
        <v>建筑结构</v>
      </c>
      <c r="R31" s="667" t="s">
        <v>14</v>
      </c>
      <c r="S31" s="668">
        <f t="shared" si="12"/>
        <v>100</v>
      </c>
      <c r="T31" s="667" t="s">
        <v>14</v>
      </c>
      <c r="U31" s="668">
        <f t="shared" si="13"/>
        <v>100</v>
      </c>
      <c r="V31" s="667" t="s">
        <v>14</v>
      </c>
      <c r="W31" s="668">
        <f t="shared" si="14"/>
        <v>100</v>
      </c>
      <c r="X31" s="1262"/>
      <c r="Y31" s="3399"/>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99"/>
      <c r="Q32" s="1260" t="str">
        <f t="shared" si="11"/>
        <v>公共部分装修</v>
      </c>
      <c r="R32" s="667" t="s">
        <v>14</v>
      </c>
      <c r="S32" s="668">
        <f t="shared" si="12"/>
        <v>100</v>
      </c>
      <c r="T32" s="667" t="s">
        <v>14</v>
      </c>
      <c r="U32" s="668">
        <f t="shared" si="13"/>
        <v>100</v>
      </c>
      <c r="V32" s="667" t="s">
        <v>14</v>
      </c>
      <c r="W32" s="668">
        <f t="shared" si="14"/>
        <v>100</v>
      </c>
      <c r="X32" s="1262"/>
      <c r="Y32" s="3399"/>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99"/>
      <c r="Q33" s="1260" t="str">
        <f t="shared" si="11"/>
        <v>成新度</v>
      </c>
      <c r="R33" s="667" t="s">
        <v>14</v>
      </c>
      <c r="S33" s="668" t="e">
        <f t="shared" si="12"/>
        <v>#N/A</v>
      </c>
      <c r="T33" s="667" t="s">
        <v>14</v>
      </c>
      <c r="U33" s="668" t="e">
        <f t="shared" si="13"/>
        <v>#N/A</v>
      </c>
      <c r="V33" s="667" t="s">
        <v>14</v>
      </c>
      <c r="W33" s="668" t="e">
        <f t="shared" si="14"/>
        <v>#N/A</v>
      </c>
      <c r="X33" s="1262"/>
      <c r="Y33" s="3399"/>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99" t="s">
        <v>1696</v>
      </c>
      <c r="Q35" s="1260" t="str">
        <f t="shared" si="11"/>
        <v>市政基础设施</v>
      </c>
      <c r="R35" s="667" t="s">
        <v>14</v>
      </c>
      <c r="S35" s="668">
        <f t="shared" si="12"/>
        <v>100</v>
      </c>
      <c r="T35" s="667" t="s">
        <v>14</v>
      </c>
      <c r="U35" s="668">
        <f t="shared" si="13"/>
        <v>100</v>
      </c>
      <c r="V35" s="667" t="s">
        <v>14</v>
      </c>
      <c r="W35" s="668">
        <f t="shared" si="14"/>
        <v>100</v>
      </c>
      <c r="X35" s="1262"/>
      <c r="Y35" s="3399"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99"/>
      <c r="Q36" s="1260" t="str">
        <f t="shared" si="11"/>
        <v>内部装修</v>
      </c>
      <c r="R36" s="667" t="s">
        <v>14</v>
      </c>
      <c r="S36" s="668">
        <f t="shared" si="12"/>
        <v>100</v>
      </c>
      <c r="T36" s="667" t="s">
        <v>14</v>
      </c>
      <c r="U36" s="668">
        <f t="shared" si="13"/>
        <v>100</v>
      </c>
      <c r="V36" s="667" t="s">
        <v>14</v>
      </c>
      <c r="W36" s="668">
        <f t="shared" si="14"/>
        <v>100</v>
      </c>
      <c r="X36" s="1262"/>
      <c r="Y36" s="3399"/>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99"/>
      <c r="Q37" s="1260" t="str">
        <f t="shared" si="11"/>
        <v>内部装修状况</v>
      </c>
      <c r="R37" s="667" t="s">
        <v>14</v>
      </c>
      <c r="S37" s="668">
        <f t="shared" si="12"/>
        <v>100</v>
      </c>
      <c r="T37" s="667" t="s">
        <v>14</v>
      </c>
      <c r="U37" s="668">
        <f t="shared" si="13"/>
        <v>100</v>
      </c>
      <c r="V37" s="667" t="s">
        <v>14</v>
      </c>
      <c r="W37" s="668">
        <f t="shared" si="14"/>
        <v>100</v>
      </c>
      <c r="X37" s="1262"/>
      <c r="Y37" s="3399"/>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99"/>
      <c r="Q39" s="1260">
        <f t="shared" si="11"/>
        <v>111</v>
      </c>
      <c r="R39" s="667" t="s">
        <v>14</v>
      </c>
      <c r="S39" s="668">
        <f t="shared" si="12"/>
        <v>100</v>
      </c>
      <c r="T39" s="667" t="s">
        <v>14</v>
      </c>
      <c r="U39" s="668">
        <f t="shared" si="13"/>
        <v>100</v>
      </c>
      <c r="V39" s="667" t="s">
        <v>14</v>
      </c>
      <c r="W39" s="668">
        <f t="shared" si="14"/>
        <v>100</v>
      </c>
      <c r="X39" s="1262"/>
      <c r="Y39" s="3399"/>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00"/>
      <c r="Q40" s="1260">
        <f t="shared" si="11"/>
        <v>111</v>
      </c>
      <c r="R40" s="667" t="s">
        <v>14</v>
      </c>
      <c r="S40" s="668">
        <f t="shared" si="12"/>
        <v>100</v>
      </c>
      <c r="T40" s="667" t="s">
        <v>14</v>
      </c>
      <c r="U40" s="668">
        <f t="shared" si="13"/>
        <v>100</v>
      </c>
      <c r="V40" s="667" t="s">
        <v>14</v>
      </c>
      <c r="W40" s="668">
        <f t="shared" si="14"/>
        <v>100</v>
      </c>
      <c r="X40" s="1262"/>
      <c r="Y40" s="3400"/>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4"/>
      <c r="L41" s="870"/>
      <c r="M41" s="858"/>
      <c r="N41" s="858"/>
      <c r="O41" s="858"/>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79" t="e">
        <f>R43</f>
        <v>#DIV/0!</v>
      </c>
      <c r="D42" s="2137" t="s">
        <v>2138</v>
      </c>
      <c r="E42" s="1080" t="e">
        <f>R42</f>
        <v>#DIV/0!</v>
      </c>
      <c r="F42" s="2138"/>
      <c r="G42" s="1079" t="e">
        <f>T42</f>
        <v>#DIV/0!</v>
      </c>
      <c r="H42" s="2138"/>
      <c r="I42" s="1080" t="e">
        <f>V42</f>
        <v>#DIV/0!</v>
      </c>
      <c r="J42" s="2138"/>
      <c r="K42" s="2140">
        <f>F42+H42+J42</f>
        <v>0</v>
      </c>
      <c r="L42" s="870"/>
      <c r="M42" s="858"/>
      <c r="N42" s="858"/>
      <c r="O42" s="858"/>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2"/>
      <c r="O54" s="2533"/>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09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90" t="s">
        <v>1775</v>
      </c>
      <c r="Q4" s="3491"/>
      <c r="R4" s="3494" t="s">
        <v>1771</v>
      </c>
      <c r="S4" s="3495"/>
      <c r="T4" s="3494" t="s">
        <v>1772</v>
      </c>
      <c r="U4" s="3495"/>
      <c r="V4" s="3388" t="s">
        <v>1773</v>
      </c>
      <c r="W4" s="3388"/>
      <c r="X4" s="1262"/>
      <c r="Y4" s="3494" t="s">
        <v>1775</v>
      </c>
      <c r="Z4" s="3495"/>
      <c r="AA4" s="3489" t="s">
        <v>1771</v>
      </c>
      <c r="AB4" s="3434" t="s">
        <v>1772</v>
      </c>
      <c r="AC4" s="3489" t="s">
        <v>1773</v>
      </c>
    </row>
    <row r="5" spans="1:29" ht="15">
      <c r="A5" s="348"/>
      <c r="B5" s="349"/>
      <c r="C5" s="3429" t="s">
        <v>1673</v>
      </c>
      <c r="D5" s="3424"/>
      <c r="E5" s="3496" t="s">
        <v>1674</v>
      </c>
      <c r="F5" s="3437"/>
      <c r="G5" s="3429" t="s">
        <v>1675</v>
      </c>
      <c r="H5" s="3424"/>
      <c r="I5" s="3429" t="s">
        <v>1676</v>
      </c>
      <c r="J5" s="3424"/>
      <c r="K5" s="537"/>
      <c r="L5" s="2480"/>
      <c r="M5" s="2481"/>
      <c r="N5" s="2481"/>
      <c r="O5" s="2481"/>
      <c r="P5" s="3492"/>
      <c r="Q5" s="3411"/>
      <c r="R5" s="3416"/>
      <c r="S5" s="3417"/>
      <c r="T5" s="3416"/>
      <c r="U5" s="3417"/>
      <c r="V5" s="3388"/>
      <c r="W5" s="3388"/>
      <c r="X5" s="1262"/>
      <c r="Y5" s="3416"/>
      <c r="Z5" s="3417"/>
      <c r="AA5" s="3434"/>
      <c r="AB5" s="3434"/>
      <c r="AC5" s="3434"/>
    </row>
    <row r="6" spans="1:29" ht="15.75" thickBot="1">
      <c r="A6" s="350"/>
      <c r="B6" s="351"/>
      <c r="C6" s="3421" t="s">
        <v>1677</v>
      </c>
      <c r="D6" s="3422"/>
      <c r="E6" s="3431" t="s">
        <v>1677</v>
      </c>
      <c r="F6" s="3432"/>
      <c r="G6" s="3421" t="s">
        <v>1677</v>
      </c>
      <c r="H6" s="3422"/>
      <c r="I6" s="3421" t="s">
        <v>1677</v>
      </c>
      <c r="J6" s="3422"/>
      <c r="K6" s="537" t="s">
        <v>1678</v>
      </c>
      <c r="L6" s="2480"/>
      <c r="M6" s="2481"/>
      <c r="N6" s="2481"/>
      <c r="O6" s="2481"/>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2"/>
      <c r="M7" s="2434"/>
      <c r="N7" s="2434"/>
      <c r="O7" s="2434"/>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4"/>
      <c r="N8" s="2434"/>
      <c r="O8" s="2434"/>
      <c r="P8" s="3427" t="s">
        <v>1683</v>
      </c>
      <c r="Q8" s="3426"/>
      <c r="R8" s="664" t="s">
        <v>14</v>
      </c>
      <c r="S8" s="665">
        <f t="shared" si="0"/>
        <v>100</v>
      </c>
      <c r="T8" s="664" t="s">
        <v>14</v>
      </c>
      <c r="U8" s="665">
        <f t="shared" si="1"/>
        <v>100</v>
      </c>
      <c r="V8" s="664" t="s">
        <v>14</v>
      </c>
      <c r="W8" s="665">
        <f t="shared" si="2"/>
        <v>100</v>
      </c>
      <c r="X8" s="666"/>
      <c r="Y8" s="3427" t="s">
        <v>1683</v>
      </c>
      <c r="Z8" s="342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4"/>
      <c r="N9" s="2434"/>
      <c r="O9" s="2434"/>
      <c r="P9" s="3387"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7">
      <c r="A10" s="565"/>
      <c r="B10" s="566" t="s">
        <v>1688</v>
      </c>
      <c r="C10" s="3097"/>
      <c r="D10" s="119">
        <v>100</v>
      </c>
      <c r="E10" s="3097"/>
      <c r="F10" s="119">
        <f>SUMIF(55:55,E10,56:56)-SUMIF(55:55,C10,56:56)+100</f>
        <v>100</v>
      </c>
      <c r="G10" s="3098"/>
      <c r="H10" s="119">
        <f>SUMIF(55:55,G10,56:56)-SUMIF(55:55,C10,56:56)+100</f>
        <v>100</v>
      </c>
      <c r="I10" s="3097"/>
      <c r="J10" s="119">
        <f>SUMIF(55:55,I10,56:56)-SUMIF(55:55,C10,56:56)+100</f>
        <v>100</v>
      </c>
      <c r="K10" s="38"/>
      <c r="L10" s="2483"/>
      <c r="M10" s="2484"/>
      <c r="N10" s="2484"/>
      <c r="O10" s="2484"/>
      <c r="P10" s="3387"/>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387"/>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4"/>
      <c r="N12" s="2434"/>
      <c r="O12" s="2434"/>
      <c r="P12" s="3387"/>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387"/>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
      <c r="A14" s="345" t="s">
        <v>1690</v>
      </c>
      <c r="B14" s="554" t="s">
        <v>1833</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94" t="s">
        <v>1691</v>
      </c>
      <c r="Q14" s="1260" t="str">
        <f t="shared" si="6"/>
        <v>交通便捷度</v>
      </c>
      <c r="R14" s="667" t="s">
        <v>14</v>
      </c>
      <c r="S14" s="668">
        <f t="shared" si="0"/>
        <v>100</v>
      </c>
      <c r="T14" s="667" t="s">
        <v>14</v>
      </c>
      <c r="U14" s="668">
        <f t="shared" si="1"/>
        <v>100</v>
      </c>
      <c r="V14" s="667" t="s">
        <v>14</v>
      </c>
      <c r="W14" s="668">
        <f t="shared" si="2"/>
        <v>100</v>
      </c>
      <c r="X14" s="1262"/>
      <c r="Y14" s="3394"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6"/>
      <c r="M15" s="2481"/>
      <c r="N15" s="2481"/>
      <c r="O15" s="2481"/>
      <c r="P15" s="3395"/>
      <c r="Q15" s="1260"/>
      <c r="R15" s="667"/>
      <c r="S15" s="668"/>
      <c r="T15" s="667"/>
      <c r="U15" s="668"/>
      <c r="V15" s="667"/>
      <c r="W15" s="668"/>
      <c r="X15" s="1262"/>
      <c r="Y15" s="3395"/>
      <c r="Z15" s="1261"/>
      <c r="AA15" s="1261">
        <v>1</v>
      </c>
      <c r="AB15" s="1261">
        <v>1</v>
      </c>
      <c r="AC15" s="1261">
        <v>1</v>
      </c>
    </row>
    <row r="16" spans="1:29" ht="15">
      <c r="A16" s="348"/>
      <c r="B16" s="556" t="s">
        <v>1812</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95"/>
      <c r="Q16" s="1260" t="str">
        <f>B16</f>
        <v>公共配套设施</v>
      </c>
      <c r="R16" s="667" t="s">
        <v>14</v>
      </c>
      <c r="S16" s="668">
        <f>F16</f>
        <v>100</v>
      </c>
      <c r="T16" s="667" t="s">
        <v>14</v>
      </c>
      <c r="U16" s="668">
        <f>H16</f>
        <v>100</v>
      </c>
      <c r="V16" s="667" t="s">
        <v>14</v>
      </c>
      <c r="W16" s="668">
        <f>J16</f>
        <v>100</v>
      </c>
      <c r="X16" s="1262"/>
      <c r="Y16" s="3395"/>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6"/>
      <c r="M17" s="2481"/>
      <c r="N17" s="2481"/>
      <c r="O17" s="2481"/>
      <c r="P17" s="3395"/>
      <c r="Q17" s="1260"/>
      <c r="R17" s="667"/>
      <c r="S17" s="668"/>
      <c r="T17" s="667"/>
      <c r="U17" s="668"/>
      <c r="V17" s="667"/>
      <c r="W17" s="668"/>
      <c r="X17" s="1262"/>
      <c r="Y17" s="3395"/>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95"/>
      <c r="Q18" s="1260" t="str">
        <f>B18</f>
        <v>基础设施水平</v>
      </c>
      <c r="R18" s="667" t="s">
        <v>14</v>
      </c>
      <c r="S18" s="668">
        <f>F18</f>
        <v>100</v>
      </c>
      <c r="T18" s="667" t="s">
        <v>14</v>
      </c>
      <c r="U18" s="668">
        <f>H18</f>
        <v>100</v>
      </c>
      <c r="V18" s="667" t="s">
        <v>14</v>
      </c>
      <c r="W18" s="668">
        <f>J18</f>
        <v>100</v>
      </c>
      <c r="X18" s="1262"/>
      <c r="Y18" s="3395"/>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86"/>
      <c r="M19" s="2481"/>
      <c r="N19" s="2481"/>
      <c r="O19" s="2481"/>
      <c r="P19" s="3395"/>
      <c r="Q19" s="1260"/>
      <c r="R19" s="667"/>
      <c r="S19" s="668"/>
      <c r="T19" s="667"/>
      <c r="U19" s="668"/>
      <c r="V19" s="667"/>
      <c r="W19" s="668"/>
      <c r="X19" s="1262"/>
      <c r="Y19" s="3395"/>
      <c r="Z19" s="1261"/>
      <c r="AA19" s="1261">
        <v>1</v>
      </c>
      <c r="AB19" s="1261">
        <v>1</v>
      </c>
      <c r="AC19" s="1261">
        <v>1</v>
      </c>
    </row>
    <row r="20" spans="1:29" ht="15">
      <c r="A20" s="348"/>
      <c r="B20" s="556" t="s">
        <v>1834</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95"/>
      <c r="Q20" s="1260" t="str">
        <f>B20</f>
        <v>自然及人文环境</v>
      </c>
      <c r="R20" s="667" t="s">
        <v>14</v>
      </c>
      <c r="S20" s="668">
        <f>F20</f>
        <v>100</v>
      </c>
      <c r="T20" s="667" t="s">
        <v>14</v>
      </c>
      <c r="U20" s="668">
        <f>H20</f>
        <v>100</v>
      </c>
      <c r="V20" s="667" t="s">
        <v>14</v>
      </c>
      <c r="W20" s="668">
        <f>J20</f>
        <v>100</v>
      </c>
      <c r="X20" s="1262"/>
      <c r="Y20" s="3395"/>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6"/>
      <c r="M21" s="2481"/>
      <c r="N21" s="2481"/>
      <c r="O21" s="2481"/>
      <c r="P21" s="3395"/>
      <c r="Q21" s="1260"/>
      <c r="R21" s="667"/>
      <c r="S21" s="668"/>
      <c r="T21" s="667"/>
      <c r="U21" s="668"/>
      <c r="V21" s="667"/>
      <c r="W21" s="668"/>
      <c r="X21" s="1262"/>
      <c r="Y21" s="3395"/>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95"/>
      <c r="Q22" s="1260" t="str">
        <f>B22</f>
        <v>楼层</v>
      </c>
      <c r="R22" s="667" t="s">
        <v>14</v>
      </c>
      <c r="S22" s="668">
        <f>F22</f>
        <v>100</v>
      </c>
      <c r="T22" s="667" t="s">
        <v>14</v>
      </c>
      <c r="U22" s="668">
        <f>H22</f>
        <v>100</v>
      </c>
      <c r="V22" s="667" t="s">
        <v>14</v>
      </c>
      <c r="W22" s="668">
        <f>J22</f>
        <v>100</v>
      </c>
      <c r="X22" s="1262"/>
      <c r="Y22" s="3395"/>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95"/>
      <c r="Q23" s="1260">
        <f>B23</f>
        <v>111</v>
      </c>
      <c r="R23" s="667" t="s">
        <v>14</v>
      </c>
      <c r="S23" s="668">
        <f>F23</f>
        <v>100</v>
      </c>
      <c r="T23" s="667" t="s">
        <v>14</v>
      </c>
      <c r="U23" s="668">
        <f>H23</f>
        <v>100</v>
      </c>
      <c r="V23" s="667" t="s">
        <v>14</v>
      </c>
      <c r="W23" s="668">
        <f>J23</f>
        <v>100</v>
      </c>
      <c r="X23" s="1262"/>
      <c r="Y23" s="3395"/>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95"/>
      <c r="Q24" s="1260">
        <f t="shared" ref="Q24:Q36" si="11">B24</f>
        <v>111</v>
      </c>
      <c r="R24" s="667" t="s">
        <v>14</v>
      </c>
      <c r="S24" s="668">
        <f>F24</f>
        <v>100</v>
      </c>
      <c r="T24" s="667" t="s">
        <v>14</v>
      </c>
      <c r="U24" s="668">
        <f>H24</f>
        <v>100</v>
      </c>
      <c r="V24" s="667" t="s">
        <v>14</v>
      </c>
      <c r="W24" s="668">
        <f>J24</f>
        <v>100</v>
      </c>
      <c r="X24" s="1262"/>
      <c r="Y24" s="3395"/>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4"/>
      <c r="N25" s="2434"/>
      <c r="O25" s="2434"/>
      <c r="P25" s="3395"/>
      <c r="Q25" s="530">
        <f t="shared" si="11"/>
        <v>111</v>
      </c>
      <c r="R25" s="664" t="s">
        <v>14</v>
      </c>
      <c r="S25" s="665">
        <f>F25</f>
        <v>100</v>
      </c>
      <c r="T25" s="664" t="s">
        <v>14</v>
      </c>
      <c r="U25" s="665">
        <f>H25</f>
        <v>100</v>
      </c>
      <c r="V25" s="664" t="s">
        <v>14</v>
      </c>
      <c r="W25" s="665">
        <f>J25</f>
        <v>100</v>
      </c>
      <c r="X25" s="666"/>
      <c r="Y25" s="3395"/>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97"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399"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399"/>
      <c r="Q28" s="1260" t="str">
        <f t="shared" si="11"/>
        <v>公共部分装修</v>
      </c>
      <c r="R28" s="667" t="s">
        <v>14</v>
      </c>
      <c r="S28" s="668">
        <f t="shared" si="12"/>
        <v>100</v>
      </c>
      <c r="T28" s="667" t="s">
        <v>14</v>
      </c>
      <c r="U28" s="668">
        <f t="shared" si="13"/>
        <v>100</v>
      </c>
      <c r="V28" s="667" t="s">
        <v>14</v>
      </c>
      <c r="W28" s="668">
        <f t="shared" si="14"/>
        <v>100</v>
      </c>
      <c r="X28" s="1262"/>
      <c r="Y28" s="3399"/>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399"/>
      <c r="Q29" s="1260" t="str">
        <f t="shared" si="11"/>
        <v>成新率</v>
      </c>
      <c r="R29" s="667" t="s">
        <v>14</v>
      </c>
      <c r="S29" s="668" t="e">
        <f t="shared" si="12"/>
        <v>#N/A</v>
      </c>
      <c r="T29" s="667" t="s">
        <v>14</v>
      </c>
      <c r="U29" s="668" t="e">
        <f t="shared" si="13"/>
        <v>#N/A</v>
      </c>
      <c r="V29" s="667" t="s">
        <v>14</v>
      </c>
      <c r="W29" s="668" t="e">
        <f t="shared" si="14"/>
        <v>#N/A</v>
      </c>
      <c r="X29" s="1262"/>
      <c r="Y29" s="3399"/>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399"/>
      <c r="Q30" s="1260" t="str">
        <f t="shared" si="11"/>
        <v>物业等级</v>
      </c>
      <c r="R30" s="667" t="s">
        <v>14</v>
      </c>
      <c r="S30" s="668">
        <f t="shared" si="12"/>
        <v>100</v>
      </c>
      <c r="T30" s="667" t="s">
        <v>14</v>
      </c>
      <c r="U30" s="668">
        <f t="shared" si="13"/>
        <v>100</v>
      </c>
      <c r="V30" s="667" t="s">
        <v>14</v>
      </c>
      <c r="W30" s="668">
        <f t="shared" si="14"/>
        <v>100</v>
      </c>
      <c r="X30" s="1262"/>
      <c r="Y30" s="3399"/>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4"/>
      <c r="N31" s="2434"/>
      <c r="O31" s="2434"/>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399" t="s">
        <v>1696</v>
      </c>
      <c r="Q32" s="1260" t="str">
        <f t="shared" si="11"/>
        <v>车位类型</v>
      </c>
      <c r="R32" s="667" t="s">
        <v>14</v>
      </c>
      <c r="S32" s="668">
        <f t="shared" si="12"/>
        <v>100</v>
      </c>
      <c r="T32" s="667" t="s">
        <v>14</v>
      </c>
      <c r="U32" s="668">
        <f t="shared" si="13"/>
        <v>100</v>
      </c>
      <c r="V32" s="667" t="s">
        <v>14</v>
      </c>
      <c r="W32" s="668">
        <f t="shared" si="14"/>
        <v>100</v>
      </c>
      <c r="X32" s="1262"/>
      <c r="Y32" s="3399"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399"/>
      <c r="Q33" s="1260" t="str">
        <f t="shared" si="11"/>
        <v>是否直接入户</v>
      </c>
      <c r="R33" s="667" t="s">
        <v>14</v>
      </c>
      <c r="S33" s="668">
        <f t="shared" si="12"/>
        <v>100</v>
      </c>
      <c r="T33" s="667" t="s">
        <v>14</v>
      </c>
      <c r="U33" s="668">
        <f t="shared" si="13"/>
        <v>100</v>
      </c>
      <c r="V33" s="667" t="s">
        <v>14</v>
      </c>
      <c r="W33" s="668">
        <f t="shared" si="14"/>
        <v>100</v>
      </c>
      <c r="X33" s="1262"/>
      <c r="Y33" s="3399"/>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399"/>
      <c r="Q34" s="1260">
        <f t="shared" si="11"/>
        <v>111</v>
      </c>
      <c r="R34" s="667" t="s">
        <v>14</v>
      </c>
      <c r="S34" s="668">
        <f t="shared" si="12"/>
        <v>100</v>
      </c>
      <c r="T34" s="667" t="s">
        <v>14</v>
      </c>
      <c r="U34" s="668">
        <f t="shared" si="13"/>
        <v>100</v>
      </c>
      <c r="V34" s="667" t="s">
        <v>14</v>
      </c>
      <c r="W34" s="668">
        <f t="shared" si="14"/>
        <v>100</v>
      </c>
      <c r="X34" s="1262"/>
      <c r="Y34" s="3399"/>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399"/>
      <c r="Q36" s="1260">
        <f t="shared" si="11"/>
        <v>111</v>
      </c>
      <c r="R36" s="667" t="s">
        <v>14</v>
      </c>
      <c r="S36" s="668">
        <f t="shared" si="12"/>
        <v>100</v>
      </c>
      <c r="T36" s="667" t="s">
        <v>14</v>
      </c>
      <c r="U36" s="668">
        <f t="shared" si="13"/>
        <v>100</v>
      </c>
      <c r="V36" s="667" t="s">
        <v>14</v>
      </c>
      <c r="W36" s="668">
        <f t="shared" si="14"/>
        <v>100</v>
      </c>
      <c r="X36" s="1262"/>
      <c r="Y36" s="3399"/>
      <c r="Z36" s="1261">
        <f t="shared" si="15"/>
        <v>111</v>
      </c>
      <c r="AA36" s="1261">
        <f t="shared" si="3"/>
        <v>1</v>
      </c>
      <c r="AB36" s="1261">
        <f t="shared" si="4"/>
        <v>1</v>
      </c>
      <c r="AC36" s="1261">
        <f t="shared" si="5"/>
        <v>1</v>
      </c>
    </row>
    <row r="37" spans="1:29" ht="15">
      <c r="A37" s="416" t="s">
        <v>1844</v>
      </c>
      <c r="B37" s="1818" t="s">
        <v>3352</v>
      </c>
      <c r="C37" s="1078" t="s">
        <v>0</v>
      </c>
      <c r="D37" s="418"/>
      <c r="E37" s="419"/>
      <c r="F37" s="420"/>
      <c r="G37" s="421"/>
      <c r="H37" s="422"/>
      <c r="I37" s="419"/>
      <c r="J37" s="422"/>
      <c r="K37" s="545"/>
      <c r="L37" s="2488"/>
      <c r="M37" s="2481"/>
      <c r="N37" s="2481"/>
      <c r="O37" s="2481"/>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79" t="e">
        <f>R39</f>
        <v>#DIV/0!</v>
      </c>
      <c r="D38" s="2137" t="s">
        <v>2138</v>
      </c>
      <c r="E38" s="1080" t="e">
        <f>R38</f>
        <v>#DIV/0!</v>
      </c>
      <c r="F38" s="2138"/>
      <c r="G38" s="1079" t="e">
        <f>T38</f>
        <v>#DIV/0!</v>
      </c>
      <c r="H38" s="2138"/>
      <c r="I38" s="1080" t="e">
        <f>V38</f>
        <v>#DIV/0!</v>
      </c>
      <c r="J38" s="2138"/>
      <c r="K38" s="2140">
        <f>F38+H38+J38</f>
        <v>0</v>
      </c>
      <c r="L38" s="2488"/>
      <c r="M38" s="2481"/>
      <c r="N38" s="2481"/>
      <c r="O38" s="2481"/>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8"/>
      <c r="M39" s="2481"/>
      <c r="N39" s="2481"/>
      <c r="O39" s="2481"/>
      <c r="P39" s="3486" t="str">
        <f>A39</f>
        <v>估价对象XX用房的比较价值（楼面单价，元/平方米）</v>
      </c>
      <c r="Q39" s="3487"/>
      <c r="R39" s="3498" t="e">
        <f>IF(F1="售价",ROUND(IF(D38="简单平均",AVERAGE(R38:W38),R38*F38+T38*H38+V38*J38),0),ROUND(IF(D38="简单平均",AVERAGE(R38:V38),R38*F38+T38*H38+V38*J38),1))</f>
        <v>#DIV/0!</v>
      </c>
      <c r="S39" s="3498"/>
      <c r="T39" s="3498"/>
      <c r="U39" s="3498"/>
      <c r="V39" s="3498"/>
      <c r="W39" s="3498"/>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1851</v>
      </c>
      <c r="B48" s="441"/>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4"/>
      <c r="R49" s="2434"/>
      <c r="S49" s="2434"/>
      <c r="T49" s="2434"/>
      <c r="U49" s="2434"/>
      <c r="V49" s="2434"/>
      <c r="W49" s="2434"/>
      <c r="X49" s="2434"/>
      <c r="Y49" s="2434"/>
      <c r="Z49" s="2434"/>
      <c r="AA49" s="2434"/>
      <c r="AB49" s="2434"/>
      <c r="AC49" s="2434"/>
    </row>
    <row r="50" spans="1:29" s="102" customFormat="1" ht="15.75" thickBot="1">
      <c r="A50" s="449" t="s">
        <v>1716</v>
      </c>
      <c r="B50" s="450"/>
      <c r="C50" s="451"/>
      <c r="D50" s="452"/>
      <c r="E50" s="452"/>
      <c r="F50" s="452"/>
      <c r="G50" s="452"/>
      <c r="H50" s="452"/>
      <c r="I50" s="452"/>
      <c r="J50" s="452"/>
      <c r="K50" s="452"/>
      <c r="L50" s="452"/>
      <c r="M50" s="453"/>
      <c r="N50" s="452"/>
      <c r="O50" s="453"/>
      <c r="P50" s="2522"/>
      <c r="Q50" s="2502"/>
      <c r="R50" s="2434"/>
      <c r="S50" s="2434"/>
      <c r="T50" s="2434"/>
      <c r="U50" s="2434"/>
      <c r="V50" s="2434"/>
      <c r="W50" s="2434"/>
      <c r="X50" s="2434"/>
      <c r="Y50" s="2434"/>
      <c r="Z50" s="2434"/>
      <c r="AA50" s="2434"/>
      <c r="AB50" s="2434"/>
      <c r="AC50" s="2434"/>
    </row>
    <row r="51" spans="1:29" s="102" customFormat="1" ht="15">
      <c r="A51" s="455" t="s">
        <v>1681</v>
      </c>
      <c r="B51" s="444"/>
      <c r="C51" s="456" t="s">
        <v>1776</v>
      </c>
      <c r="D51" s="31"/>
      <c r="E51" s="31"/>
      <c r="F51" s="31"/>
      <c r="G51" s="31"/>
      <c r="H51" s="31"/>
      <c r="I51" s="31"/>
      <c r="J51" s="31"/>
      <c r="K51" s="31"/>
      <c r="L51" s="457"/>
      <c r="M51" s="458"/>
      <c r="N51" s="2514"/>
      <c r="O51" s="2514"/>
      <c r="P51" s="2523"/>
      <c r="Q51" s="2502"/>
      <c r="R51" s="2434"/>
      <c r="S51" s="2434"/>
      <c r="T51" s="2434"/>
      <c r="U51" s="2434"/>
      <c r="V51" s="2434"/>
      <c r="W51" s="2434"/>
      <c r="X51" s="2434"/>
      <c r="Y51" s="2434"/>
      <c r="Z51" s="2434"/>
      <c r="AA51" s="2434"/>
      <c r="AB51" s="2434"/>
      <c r="AC51" s="2434"/>
    </row>
    <row r="52" spans="1:29" s="102" customFormat="1" ht="15.75" thickBot="1">
      <c r="A52" s="455"/>
      <c r="B52" s="444"/>
      <c r="C52" s="563">
        <v>100</v>
      </c>
      <c r="D52" s="446"/>
      <c r="E52" s="446"/>
      <c r="F52" s="446"/>
      <c r="G52" s="446"/>
      <c r="H52" s="446"/>
      <c r="I52" s="446"/>
      <c r="J52" s="446"/>
      <c r="K52" s="446"/>
      <c r="L52" s="446"/>
      <c r="M52" s="448"/>
      <c r="N52" s="2514"/>
      <c r="O52" s="2514"/>
      <c r="P52" s="2522"/>
      <c r="Q52" s="2502"/>
      <c r="R52" s="2434"/>
      <c r="S52" s="2434"/>
      <c r="T52" s="2434"/>
      <c r="U52" s="2434"/>
      <c r="V52" s="2434"/>
      <c r="W52" s="2434"/>
      <c r="X52" s="2434"/>
      <c r="Y52" s="2434"/>
      <c r="Z52" s="2434"/>
      <c r="AA52" s="2434"/>
      <c r="AB52" s="2434"/>
      <c r="AC52" s="2434"/>
    </row>
    <row r="53" spans="1:29">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1813</v>
      </c>
      <c r="C67" s="581" t="s">
        <v>1799</v>
      </c>
      <c r="D67" s="581" t="s">
        <v>1800</v>
      </c>
      <c r="E67" s="581" t="s">
        <v>1801</v>
      </c>
      <c r="F67" s="581" t="s">
        <v>1802</v>
      </c>
      <c r="G67" s="581" t="s">
        <v>1803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6"/>
      <c r="O74" s="2516"/>
      <c r="P74" s="2524"/>
      <c r="Q74" s="2502"/>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6"/>
      <c r="O76" s="2516"/>
      <c r="P76" s="2524"/>
      <c r="Q76" s="2502"/>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c r="E1" s="309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90" t="s">
        <v>1775</v>
      </c>
      <c r="Q4" s="3491"/>
      <c r="R4" s="3494" t="s">
        <v>1771</v>
      </c>
      <c r="S4" s="3495"/>
      <c r="T4" s="3494" t="s">
        <v>1772</v>
      </c>
      <c r="U4" s="3495"/>
      <c r="V4" s="3388" t="s">
        <v>1773</v>
      </c>
      <c r="W4" s="3388"/>
      <c r="X4" s="1262"/>
      <c r="Y4" s="3494" t="s">
        <v>1775</v>
      </c>
      <c r="Z4" s="3495"/>
      <c r="AA4" s="3489" t="s">
        <v>1771</v>
      </c>
      <c r="AB4" s="3434" t="s">
        <v>1772</v>
      </c>
      <c r="AC4" s="3489" t="s">
        <v>1773</v>
      </c>
    </row>
    <row r="5" spans="1:29" ht="15">
      <c r="A5" s="348"/>
      <c r="B5" s="349"/>
      <c r="C5" s="3429" t="s">
        <v>1673</v>
      </c>
      <c r="D5" s="3424"/>
      <c r="E5" s="3496" t="s">
        <v>1674</v>
      </c>
      <c r="F5" s="3437"/>
      <c r="G5" s="3429" t="s">
        <v>1675</v>
      </c>
      <c r="H5" s="3424"/>
      <c r="I5" s="3429" t="s">
        <v>1676</v>
      </c>
      <c r="J5" s="3424"/>
      <c r="K5" s="537"/>
      <c r="L5" s="2480"/>
      <c r="M5" s="2481"/>
      <c r="N5" s="2481"/>
      <c r="O5" s="2481"/>
      <c r="P5" s="3492"/>
      <c r="Q5" s="3411"/>
      <c r="R5" s="3416"/>
      <c r="S5" s="3417"/>
      <c r="T5" s="3416"/>
      <c r="U5" s="3417"/>
      <c r="V5" s="3388"/>
      <c r="W5" s="3388"/>
      <c r="X5" s="1262"/>
      <c r="Y5" s="3416"/>
      <c r="Z5" s="3417"/>
      <c r="AA5" s="3434"/>
      <c r="AB5" s="3434"/>
      <c r="AC5" s="3434"/>
    </row>
    <row r="6" spans="1:29" ht="15.75" thickBot="1">
      <c r="A6" s="350"/>
      <c r="B6" s="351"/>
      <c r="C6" s="3421" t="s">
        <v>1677</v>
      </c>
      <c r="D6" s="3422"/>
      <c r="E6" s="3431" t="s">
        <v>1677</v>
      </c>
      <c r="F6" s="3432"/>
      <c r="G6" s="3421" t="s">
        <v>1677</v>
      </c>
      <c r="H6" s="3422"/>
      <c r="I6" s="3421" t="s">
        <v>1677</v>
      </c>
      <c r="J6" s="3422"/>
      <c r="K6" s="537" t="s">
        <v>1678</v>
      </c>
      <c r="L6" s="2480"/>
      <c r="M6" s="2481"/>
      <c r="N6" s="2481"/>
      <c r="O6" s="2481"/>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SUMIF(46:46,YEAR(E7)&amp;"-"&amp;MONTH(E7),47:47)</f>
        <v>0</v>
      </c>
      <c r="G7" s="1819"/>
      <c r="H7" s="355">
        <f>SUMIF(46:46,YEAR(G7)&amp;"-"&amp;MONTH(G7),47:47)</f>
        <v>0</v>
      </c>
      <c r="I7" s="356"/>
      <c r="J7" s="355">
        <f>SUMIF(46:46,YEAR(I7)&amp;"-"&amp;MONTH(I7),47:47)</f>
        <v>0</v>
      </c>
      <c r="K7" s="38"/>
      <c r="L7" s="2482"/>
      <c r="M7" s="2434"/>
      <c r="N7" s="2434"/>
      <c r="O7" s="2434"/>
      <c r="P7" s="3427" t="s">
        <v>1680</v>
      </c>
      <c r="Q7" s="3428"/>
      <c r="R7" s="664" t="s">
        <v>14</v>
      </c>
      <c r="S7" s="665">
        <f t="shared" ref="S7:S14" si="0">F7</f>
        <v>0</v>
      </c>
      <c r="T7" s="664" t="s">
        <v>14</v>
      </c>
      <c r="U7" s="665">
        <f t="shared" ref="U7:U14" si="1">H7</f>
        <v>0</v>
      </c>
      <c r="V7" s="664" t="s">
        <v>14</v>
      </c>
      <c r="W7" s="665">
        <f t="shared" ref="W7:W14" si="2">J7</f>
        <v>0</v>
      </c>
      <c r="X7" s="666"/>
      <c r="Y7" s="3427" t="s">
        <v>1680</v>
      </c>
      <c r="Z7" s="342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4"/>
      <c r="N8" s="2434"/>
      <c r="O8" s="2434"/>
      <c r="P8" s="3427" t="s">
        <v>1683</v>
      </c>
      <c r="Q8" s="3426"/>
      <c r="R8" s="664" t="s">
        <v>14</v>
      </c>
      <c r="S8" s="665">
        <f t="shared" si="0"/>
        <v>100</v>
      </c>
      <c r="T8" s="664" t="s">
        <v>14</v>
      </c>
      <c r="U8" s="665">
        <f t="shared" si="1"/>
        <v>100</v>
      </c>
      <c r="V8" s="664" t="s">
        <v>14</v>
      </c>
      <c r="W8" s="665">
        <f t="shared" si="2"/>
        <v>100</v>
      </c>
      <c r="X8" s="666"/>
      <c r="Y8" s="3427" t="s">
        <v>1683</v>
      </c>
      <c r="Z8" s="342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4"/>
      <c r="N9" s="2434"/>
      <c r="O9" s="2534"/>
      <c r="P9" s="3387"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7">
      <c r="A10" s="363"/>
      <c r="B10" s="364" t="s">
        <v>1688</v>
      </c>
      <c r="C10" s="3097"/>
      <c r="D10" s="119">
        <v>100</v>
      </c>
      <c r="E10" s="3097"/>
      <c r="F10" s="364">
        <f>SUMIF(53:53,E10,54:54)-SUMIF(53:53,C10,54:54)+100</f>
        <v>100</v>
      </c>
      <c r="G10" s="3097"/>
      <c r="H10" s="119">
        <f>SUMIF(53:53,G10,54:54)-SUMIF(53:53,C10,54:54)+100</f>
        <v>100</v>
      </c>
      <c r="I10" s="3097"/>
      <c r="J10" s="119">
        <f>SUMIF(53:53,I10,54:54)-SUMIF(53:53,C10,54:54)+100</f>
        <v>100</v>
      </c>
      <c r="K10" s="38"/>
      <c r="L10" s="2483"/>
      <c r="M10" s="2484"/>
      <c r="N10" s="2484"/>
      <c r="O10" s="2535"/>
      <c r="P10" s="3387"/>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387"/>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4"/>
      <c r="N12" s="2434"/>
      <c r="O12" s="2534"/>
      <c r="P12" s="3387"/>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6"/>
      <c r="M13" s="2481"/>
      <c r="N13" s="2481"/>
      <c r="O13" s="2536"/>
      <c r="P13" s="3387"/>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
      <c r="A14" s="379" t="s">
        <v>1690</v>
      </c>
      <c r="B14" s="58" t="s">
        <v>1833</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94" t="s">
        <v>1691</v>
      </c>
      <c r="Q14" s="1260" t="str">
        <f t="shared" si="6"/>
        <v>交通便捷度</v>
      </c>
      <c r="R14" s="667" t="s">
        <v>14</v>
      </c>
      <c r="S14" s="668">
        <f t="shared" si="0"/>
        <v>100</v>
      </c>
      <c r="T14" s="667" t="s">
        <v>14</v>
      </c>
      <c r="U14" s="668">
        <f t="shared" si="1"/>
        <v>100</v>
      </c>
      <c r="V14" s="667" t="s">
        <v>14</v>
      </c>
      <c r="W14" s="668">
        <f t="shared" si="2"/>
        <v>100</v>
      </c>
      <c r="X14" s="1262"/>
      <c r="Y14" s="3394"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6"/>
      <c r="M15" s="2481"/>
      <c r="N15" s="2481"/>
      <c r="O15" s="2536"/>
      <c r="P15" s="3395"/>
      <c r="Q15" s="1260"/>
      <c r="R15" s="667"/>
      <c r="S15" s="668"/>
      <c r="T15" s="667"/>
      <c r="U15" s="668"/>
      <c r="V15" s="667"/>
      <c r="W15" s="668"/>
      <c r="X15" s="1262"/>
      <c r="Y15" s="3395"/>
      <c r="Z15" s="1261"/>
      <c r="AA15" s="1261">
        <v>1</v>
      </c>
      <c r="AB15" s="1261">
        <v>1</v>
      </c>
      <c r="AC15" s="1261">
        <v>1</v>
      </c>
    </row>
    <row r="16" spans="1:29" ht="15">
      <c r="A16" s="367"/>
      <c r="B16" s="390" t="s">
        <v>1812</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95"/>
      <c r="Q16" s="1260" t="str">
        <f>B16</f>
        <v>公共配套设施</v>
      </c>
      <c r="R16" s="667" t="s">
        <v>14</v>
      </c>
      <c r="S16" s="668">
        <f>F16</f>
        <v>100</v>
      </c>
      <c r="T16" s="667" t="s">
        <v>14</v>
      </c>
      <c r="U16" s="668">
        <f>H16</f>
        <v>100</v>
      </c>
      <c r="V16" s="667" t="s">
        <v>14</v>
      </c>
      <c r="W16" s="668">
        <f>J16</f>
        <v>100</v>
      </c>
      <c r="X16" s="1262"/>
      <c r="Y16" s="3395"/>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6"/>
      <c r="M17" s="2481"/>
      <c r="N17" s="2481"/>
      <c r="O17" s="2536"/>
      <c r="P17" s="3395"/>
      <c r="Q17" s="1260"/>
      <c r="R17" s="667"/>
      <c r="S17" s="668"/>
      <c r="T17" s="667"/>
      <c r="U17" s="668"/>
      <c r="V17" s="667"/>
      <c r="W17" s="668"/>
      <c r="X17" s="1262"/>
      <c r="Y17" s="3395"/>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95"/>
      <c r="Q18" s="1260" t="str">
        <f>B18</f>
        <v>基础设施水平</v>
      </c>
      <c r="R18" s="667" t="s">
        <v>14</v>
      </c>
      <c r="S18" s="668">
        <f>F18</f>
        <v>100</v>
      </c>
      <c r="T18" s="667" t="s">
        <v>14</v>
      </c>
      <c r="U18" s="668">
        <f>H18</f>
        <v>100</v>
      </c>
      <c r="V18" s="667" t="s">
        <v>14</v>
      </c>
      <c r="W18" s="668">
        <f>J18</f>
        <v>100</v>
      </c>
      <c r="X18" s="1262"/>
      <c r="Y18" s="3395"/>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86"/>
      <c r="M19" s="2481"/>
      <c r="N19" s="2481"/>
      <c r="O19" s="2536"/>
      <c r="P19" s="3395"/>
      <c r="Q19" s="1260"/>
      <c r="R19" s="667"/>
      <c r="S19" s="668"/>
      <c r="T19" s="667"/>
      <c r="U19" s="668"/>
      <c r="V19" s="667"/>
      <c r="W19" s="668"/>
      <c r="X19" s="1262"/>
      <c r="Y19" s="3395"/>
      <c r="Z19" s="1261"/>
      <c r="AA19" s="1261">
        <v>1</v>
      </c>
      <c r="AB19" s="1261">
        <v>1</v>
      </c>
      <c r="AC19" s="1261">
        <v>1</v>
      </c>
    </row>
    <row r="20" spans="1:29" ht="15">
      <c r="A20" s="367"/>
      <c r="B20" s="390" t="s">
        <v>1834</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95"/>
      <c r="Q20" s="1260" t="str">
        <f>B20</f>
        <v>自然及人文环境</v>
      </c>
      <c r="R20" s="667" t="s">
        <v>14</v>
      </c>
      <c r="S20" s="668">
        <f>F20</f>
        <v>100</v>
      </c>
      <c r="T20" s="667" t="s">
        <v>14</v>
      </c>
      <c r="U20" s="668">
        <f>H20</f>
        <v>100</v>
      </c>
      <c r="V20" s="667" t="s">
        <v>14</v>
      </c>
      <c r="W20" s="668">
        <f>J20</f>
        <v>100</v>
      </c>
      <c r="X20" s="1262"/>
      <c r="Y20" s="3395"/>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6"/>
      <c r="M21" s="2481"/>
      <c r="N21" s="2481"/>
      <c r="O21" s="2536"/>
      <c r="P21" s="3395"/>
      <c r="Q21" s="1260"/>
      <c r="R21" s="667"/>
      <c r="S21" s="668"/>
      <c r="T21" s="667"/>
      <c r="U21" s="668"/>
      <c r="V21" s="667"/>
      <c r="W21" s="668"/>
      <c r="X21" s="1262"/>
      <c r="Y21" s="3395"/>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95"/>
      <c r="Q22" s="1260" t="str">
        <f>B22</f>
        <v>楼层</v>
      </c>
      <c r="R22" s="667" t="s">
        <v>14</v>
      </c>
      <c r="S22" s="668">
        <f>F22</f>
        <v>100</v>
      </c>
      <c r="T22" s="667" t="s">
        <v>14</v>
      </c>
      <c r="U22" s="668">
        <f>H22</f>
        <v>100</v>
      </c>
      <c r="V22" s="667" t="s">
        <v>14</v>
      </c>
      <c r="W22" s="668">
        <f>J22</f>
        <v>100</v>
      </c>
      <c r="X22" s="1262"/>
      <c r="Y22" s="3395"/>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95"/>
      <c r="Q23" s="1260">
        <f>B23</f>
        <v>111</v>
      </c>
      <c r="R23" s="667" t="s">
        <v>14</v>
      </c>
      <c r="S23" s="668">
        <f>F23</f>
        <v>100</v>
      </c>
      <c r="T23" s="667" t="s">
        <v>14</v>
      </c>
      <c r="U23" s="668">
        <f>H23</f>
        <v>100</v>
      </c>
      <c r="V23" s="667" t="s">
        <v>14</v>
      </c>
      <c r="W23" s="668">
        <f>J23</f>
        <v>100</v>
      </c>
      <c r="X23" s="1262"/>
      <c r="Y23" s="3395"/>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95"/>
      <c r="Q24" s="1260">
        <f t="shared" ref="Q24:Q34" si="11">B24</f>
        <v>111</v>
      </c>
      <c r="R24" s="667" t="s">
        <v>14</v>
      </c>
      <c r="S24" s="668">
        <f>F24</f>
        <v>100</v>
      </c>
      <c r="T24" s="667" t="s">
        <v>14</v>
      </c>
      <c r="U24" s="668">
        <f>H24</f>
        <v>100</v>
      </c>
      <c r="V24" s="667" t="s">
        <v>14</v>
      </c>
      <c r="W24" s="668">
        <f>J24</f>
        <v>100</v>
      </c>
      <c r="X24" s="1262"/>
      <c r="Y24" s="3395"/>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2"/>
      <c r="M25" s="2434"/>
      <c r="N25" s="2434"/>
      <c r="O25" s="2534"/>
      <c r="P25" s="3395"/>
      <c r="Q25" s="530">
        <f t="shared" si="11"/>
        <v>111</v>
      </c>
      <c r="R25" s="664" t="s">
        <v>14</v>
      </c>
      <c r="S25" s="665">
        <f>F25</f>
        <v>100</v>
      </c>
      <c r="T25" s="664" t="s">
        <v>14</v>
      </c>
      <c r="U25" s="665">
        <f>H25</f>
        <v>100</v>
      </c>
      <c r="V25" s="664" t="s">
        <v>14</v>
      </c>
      <c r="W25" s="665">
        <f>J25</f>
        <v>100</v>
      </c>
      <c r="X25" s="666"/>
      <c r="Y25" s="3395"/>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6"/>
      <c r="M26" s="2481"/>
      <c r="N26" s="2481"/>
      <c r="O26" s="2536"/>
      <c r="P26" s="3497"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99"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399"/>
      <c r="Q28" s="1260" t="str">
        <f t="shared" si="11"/>
        <v>物业等级</v>
      </c>
      <c r="R28" s="667" t="s">
        <v>14</v>
      </c>
      <c r="S28" s="668">
        <f t="shared" si="12"/>
        <v>100</v>
      </c>
      <c r="T28" s="667" t="s">
        <v>14</v>
      </c>
      <c r="U28" s="668">
        <f t="shared" si="13"/>
        <v>100</v>
      </c>
      <c r="V28" s="667" t="s">
        <v>14</v>
      </c>
      <c r="W28" s="668">
        <f t="shared" si="14"/>
        <v>100</v>
      </c>
      <c r="X28" s="1262"/>
      <c r="Y28" s="3399"/>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399"/>
      <c r="Q29" s="1260" t="str">
        <f t="shared" si="11"/>
        <v>有无电梯</v>
      </c>
      <c r="R29" s="667" t="s">
        <v>14</v>
      </c>
      <c r="S29" s="668">
        <f t="shared" si="12"/>
        <v>100</v>
      </c>
      <c r="T29" s="667" t="s">
        <v>14</v>
      </c>
      <c r="U29" s="668">
        <f t="shared" si="13"/>
        <v>100</v>
      </c>
      <c r="V29" s="667" t="s">
        <v>14</v>
      </c>
      <c r="W29" s="668">
        <f t="shared" si="14"/>
        <v>100</v>
      </c>
      <c r="X29" s="1262"/>
      <c r="Y29" s="3399"/>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399"/>
      <c r="Q30" s="1260" t="str">
        <f t="shared" si="11"/>
        <v>建筑面积</v>
      </c>
      <c r="R30" s="667" t="s">
        <v>14</v>
      </c>
      <c r="S30" s="668" t="e">
        <f t="shared" si="12"/>
        <v>#N/A</v>
      </c>
      <c r="T30" s="667" t="s">
        <v>14</v>
      </c>
      <c r="U30" s="668" t="e">
        <f t="shared" si="13"/>
        <v>#N/A</v>
      </c>
      <c r="V30" s="667" t="s">
        <v>14</v>
      </c>
      <c r="W30" s="668" t="e">
        <f t="shared" si="14"/>
        <v>#N/A</v>
      </c>
      <c r="X30" s="1262"/>
      <c r="Y30" s="3399"/>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4"/>
      <c r="N31" s="2434"/>
      <c r="O31" s="2534"/>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399" t="s">
        <v>1696</v>
      </c>
      <c r="Q32" s="1260">
        <f t="shared" si="11"/>
        <v>111</v>
      </c>
      <c r="R32" s="667" t="s">
        <v>14</v>
      </c>
      <c r="S32" s="668">
        <f t="shared" si="12"/>
        <v>100</v>
      </c>
      <c r="T32" s="667" t="s">
        <v>14</v>
      </c>
      <c r="U32" s="668">
        <f t="shared" si="13"/>
        <v>100</v>
      </c>
      <c r="V32" s="667" t="s">
        <v>14</v>
      </c>
      <c r="W32" s="668">
        <f t="shared" si="14"/>
        <v>100</v>
      </c>
      <c r="X32" s="1262"/>
      <c r="Y32" s="3399"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399"/>
      <c r="Q33" s="1260">
        <f t="shared" si="11"/>
        <v>111</v>
      </c>
      <c r="R33" s="667" t="s">
        <v>14</v>
      </c>
      <c r="S33" s="668">
        <f t="shared" si="12"/>
        <v>100</v>
      </c>
      <c r="T33" s="667" t="s">
        <v>14</v>
      </c>
      <c r="U33" s="668">
        <f t="shared" si="13"/>
        <v>100</v>
      </c>
      <c r="V33" s="667" t="s">
        <v>14</v>
      </c>
      <c r="W33" s="668">
        <f t="shared" si="14"/>
        <v>100</v>
      </c>
      <c r="X33" s="1262"/>
      <c r="Y33" s="3399"/>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6"/>
      <c r="M34" s="2481"/>
      <c r="N34" s="2481"/>
      <c r="O34" s="2536"/>
      <c r="P34" s="3399"/>
      <c r="Q34" s="1260">
        <f t="shared" si="11"/>
        <v>111</v>
      </c>
      <c r="R34" s="667" t="s">
        <v>14</v>
      </c>
      <c r="S34" s="668">
        <f t="shared" si="12"/>
        <v>100</v>
      </c>
      <c r="T34" s="667" t="s">
        <v>14</v>
      </c>
      <c r="U34" s="668">
        <f t="shared" si="13"/>
        <v>100</v>
      </c>
      <c r="V34" s="667" t="s">
        <v>14</v>
      </c>
      <c r="W34" s="668">
        <f t="shared" si="14"/>
        <v>100</v>
      </c>
      <c r="X34" s="1262"/>
      <c r="Y34" s="3399"/>
      <c r="Z34" s="1261">
        <f t="shared" si="15"/>
        <v>111</v>
      </c>
      <c r="AA34" s="1261">
        <f t="shared" si="3"/>
        <v>1</v>
      </c>
      <c r="AB34" s="1261">
        <f t="shared" si="4"/>
        <v>1</v>
      </c>
      <c r="AC34" s="1261">
        <f t="shared" si="5"/>
        <v>1</v>
      </c>
    </row>
    <row r="35" spans="1:30" ht="15">
      <c r="A35" s="416" t="s">
        <v>1708</v>
      </c>
      <c r="B35" s="417"/>
      <c r="C35" s="1078" t="s">
        <v>0</v>
      </c>
      <c r="D35" s="418"/>
      <c r="E35" s="419"/>
      <c r="F35" s="420"/>
      <c r="G35" s="421"/>
      <c r="H35" s="422"/>
      <c r="I35" s="419"/>
      <c r="J35" s="422"/>
      <c r="K35" s="674"/>
      <c r="L35" s="2488"/>
      <c r="M35" s="2481"/>
      <c r="N35" s="2481"/>
      <c r="O35" s="2481"/>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79" t="e">
        <f>R37</f>
        <v>#DIV/0!</v>
      </c>
      <c r="D36" s="2137" t="s">
        <v>2138</v>
      </c>
      <c r="E36" s="1080" t="e">
        <f>R36</f>
        <v>#DIV/0!</v>
      </c>
      <c r="F36" s="2138"/>
      <c r="G36" s="1079" t="e">
        <f>T36</f>
        <v>#DIV/0!</v>
      </c>
      <c r="H36" s="2138"/>
      <c r="I36" s="1080" t="e">
        <f>V36</f>
        <v>#DIV/0!</v>
      </c>
      <c r="J36" s="2138"/>
      <c r="K36" s="2140">
        <f>F36+H36+J36</f>
        <v>0</v>
      </c>
      <c r="L36" s="2488"/>
      <c r="M36" s="2481"/>
      <c r="N36" s="2481"/>
      <c r="O36" s="2481"/>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8"/>
      <c r="M37" s="2481"/>
      <c r="N37" s="2481"/>
      <c r="O37" s="2481"/>
      <c r="P37" s="3486" t="str">
        <f>A37</f>
        <v>估价对象XX用房的比较价值（楼面单价，元/平方米）</v>
      </c>
      <c r="Q37" s="3487"/>
      <c r="R37" s="3498" t="e">
        <f>IF(F1="售价",ROUND(IF(D36="简单平均",AVERAGE(R36:W36),R36*F36+T36*H36+V36*J36),0),ROUND(IF(D36="简单平均",AVERAGE(R36:V36),R36*F36+T36*H36+V36*J36),1))</f>
        <v>#DIV/0!</v>
      </c>
      <c r="S37" s="3498"/>
      <c r="T37" s="3498"/>
      <c r="U37" s="3498"/>
      <c r="V37" s="3498"/>
      <c r="W37" s="3498"/>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1679</v>
      </c>
      <c r="B46" s="441"/>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9">
        <v>100</v>
      </c>
      <c r="D47" s="446"/>
      <c r="E47" s="446"/>
      <c r="F47" s="446"/>
      <c r="G47" s="446"/>
      <c r="H47" s="446"/>
      <c r="I47" s="446"/>
      <c r="J47" s="446"/>
      <c r="K47" s="446"/>
      <c r="L47" s="446"/>
      <c r="M47" s="447"/>
      <c r="N47" s="446"/>
      <c r="O47" s="448"/>
      <c r="P47" s="2502"/>
      <c r="Q47" s="2434"/>
      <c r="R47" s="2434"/>
      <c r="S47" s="2434"/>
      <c r="T47" s="2434"/>
      <c r="U47" s="2434"/>
      <c r="V47" s="2434"/>
      <c r="W47" s="2434"/>
      <c r="X47" s="2434"/>
      <c r="Y47" s="2434"/>
      <c r="Z47" s="2434"/>
      <c r="AA47" s="2434"/>
      <c r="AB47" s="2434"/>
      <c r="AC47" s="2434"/>
      <c r="AD47" s="2434"/>
    </row>
    <row r="48" spans="1:30" s="102" customFormat="1" ht="15.75" thickBot="1">
      <c r="A48" s="449" t="s">
        <v>1716</v>
      </c>
      <c r="B48" s="450"/>
      <c r="C48" s="451"/>
      <c r="D48" s="452"/>
      <c r="E48" s="452"/>
      <c r="F48" s="452"/>
      <c r="G48" s="452"/>
      <c r="H48" s="452"/>
      <c r="I48" s="452"/>
      <c r="J48" s="452"/>
      <c r="K48" s="452"/>
      <c r="L48" s="452"/>
      <c r="M48" s="453"/>
      <c r="N48" s="452"/>
      <c r="O48" s="454"/>
      <c r="P48" s="2502"/>
      <c r="Q48" s="2502"/>
      <c r="R48" s="2434"/>
      <c r="S48" s="2434"/>
      <c r="T48" s="2434"/>
      <c r="U48" s="2434"/>
      <c r="V48" s="2434"/>
      <c r="W48" s="2434"/>
      <c r="X48" s="2434"/>
      <c r="Y48" s="2434"/>
      <c r="Z48" s="2434"/>
      <c r="AA48" s="2434"/>
      <c r="AB48" s="2434"/>
      <c r="AC48" s="2434"/>
      <c r="AD48" s="2434"/>
    </row>
    <row r="49" spans="1:30" s="102" customFormat="1" ht="15">
      <c r="A49" s="455" t="s">
        <v>1681</v>
      </c>
      <c r="B49" s="444"/>
      <c r="C49" s="456" t="s">
        <v>1776</v>
      </c>
      <c r="D49" s="31"/>
      <c r="E49" s="31"/>
      <c r="F49" s="31"/>
      <c r="G49" s="31"/>
      <c r="H49" s="31"/>
      <c r="I49" s="31"/>
      <c r="J49" s="31"/>
      <c r="K49" s="31"/>
      <c r="L49" s="457"/>
      <c r="M49" s="458"/>
      <c r="N49" s="2514"/>
      <c r="O49" s="2514"/>
      <c r="P49" s="2538"/>
      <c r="Q49" s="2502"/>
      <c r="R49" s="2434"/>
      <c r="S49" s="2434"/>
      <c r="T49" s="2434"/>
      <c r="U49" s="2434"/>
      <c r="V49" s="2434"/>
      <c r="W49" s="2434"/>
      <c r="X49" s="2434"/>
      <c r="Y49" s="2434"/>
      <c r="Z49" s="2434"/>
      <c r="AA49" s="2434"/>
      <c r="AB49" s="2434"/>
      <c r="AC49" s="2434"/>
      <c r="AD49" s="2434"/>
    </row>
    <row r="50" spans="1:30" s="102" customFormat="1" ht="15.75" thickBot="1">
      <c r="A50" s="455"/>
      <c r="B50" s="444"/>
      <c r="C50" s="563">
        <v>100</v>
      </c>
      <c r="D50" s="446"/>
      <c r="E50" s="446"/>
      <c r="F50" s="446"/>
      <c r="G50" s="446"/>
      <c r="H50" s="446"/>
      <c r="I50" s="446"/>
      <c r="J50" s="446"/>
      <c r="K50" s="446"/>
      <c r="L50" s="446"/>
      <c r="M50" s="448"/>
      <c r="N50" s="2514"/>
      <c r="O50" s="2514"/>
      <c r="P50" s="2502"/>
      <c r="Q50" s="2502"/>
      <c r="R50" s="2434"/>
      <c r="S50" s="2434"/>
      <c r="T50" s="2434"/>
      <c r="U50" s="2434"/>
      <c r="V50" s="2434"/>
      <c r="W50" s="2434"/>
      <c r="X50" s="2434"/>
      <c r="Y50" s="2434"/>
      <c r="Z50" s="2434"/>
      <c r="AA50" s="2434"/>
      <c r="AB50" s="2434"/>
      <c r="AC50" s="2434"/>
      <c r="AD50" s="2434"/>
    </row>
    <row r="51" spans="1:30">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1813</v>
      </c>
      <c r="C65" s="581" t="s">
        <v>1799</v>
      </c>
      <c r="D65" s="581" t="s">
        <v>1800</v>
      </c>
      <c r="E65" s="581" t="s">
        <v>1801</v>
      </c>
      <c r="F65" s="581" t="s">
        <v>1802</v>
      </c>
      <c r="G65" s="581" t="s">
        <v>1803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6"/>
      <c r="O72" s="2516"/>
      <c r="P72" s="2514"/>
      <c r="Q72" s="2502"/>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6"/>
      <c r="O74" s="2516"/>
      <c r="P74" s="2514"/>
      <c r="Q74" s="2502"/>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90" t="s">
        <v>1775</v>
      </c>
      <c r="Q4" s="3491"/>
      <c r="R4" s="3494" t="s">
        <v>1771</v>
      </c>
      <c r="S4" s="3495"/>
      <c r="T4" s="3494" t="s">
        <v>1772</v>
      </c>
      <c r="U4" s="3495"/>
      <c r="V4" s="3388" t="s">
        <v>1773</v>
      </c>
      <c r="W4" s="3388"/>
      <c r="X4" s="1262"/>
      <c r="Y4" s="3494" t="s">
        <v>1775</v>
      </c>
      <c r="Z4" s="3495"/>
      <c r="AA4" s="3489" t="s">
        <v>1771</v>
      </c>
      <c r="AB4" s="3434" t="s">
        <v>1772</v>
      </c>
      <c r="AC4" s="3489" t="s">
        <v>1773</v>
      </c>
    </row>
    <row r="5" spans="1:29" ht="15">
      <c r="A5" s="348"/>
      <c r="B5" s="349"/>
      <c r="C5" s="3429" t="s">
        <v>1673</v>
      </c>
      <c r="D5" s="3424"/>
      <c r="E5" s="3496" t="s">
        <v>1674</v>
      </c>
      <c r="F5" s="3437"/>
      <c r="G5" s="3429" t="s">
        <v>1675</v>
      </c>
      <c r="H5" s="3424"/>
      <c r="I5" s="3429" t="s">
        <v>1676</v>
      </c>
      <c r="J5" s="3424"/>
      <c r="K5" s="537"/>
      <c r="L5" s="2480"/>
      <c r="M5" s="2481"/>
      <c r="N5" s="2481"/>
      <c r="O5" s="2481"/>
      <c r="P5" s="3492"/>
      <c r="Q5" s="3411"/>
      <c r="R5" s="3416"/>
      <c r="S5" s="3417"/>
      <c r="T5" s="3416"/>
      <c r="U5" s="3417"/>
      <c r="V5" s="3388"/>
      <c r="W5" s="3388"/>
      <c r="X5" s="1262"/>
      <c r="Y5" s="3416"/>
      <c r="Z5" s="3417"/>
      <c r="AA5" s="3434"/>
      <c r="AB5" s="3434"/>
      <c r="AC5" s="3434"/>
    </row>
    <row r="6" spans="1:29" ht="15.75" thickBot="1">
      <c r="A6" s="350"/>
      <c r="B6" s="351"/>
      <c r="C6" s="3421" t="s">
        <v>1677</v>
      </c>
      <c r="D6" s="3422"/>
      <c r="E6" s="3431" t="s">
        <v>1677</v>
      </c>
      <c r="F6" s="3432"/>
      <c r="G6" s="3421" t="s">
        <v>1677</v>
      </c>
      <c r="H6" s="3422"/>
      <c r="I6" s="3421" t="s">
        <v>1677</v>
      </c>
      <c r="J6" s="3422"/>
      <c r="K6" s="537" t="s">
        <v>1678</v>
      </c>
      <c r="L6" s="2480"/>
      <c r="M6" s="2481"/>
      <c r="N6" s="2481"/>
      <c r="O6" s="2481"/>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SUMIF(69:69,YEAR(E7)&amp;"-"&amp;INT((MONTH(E7)+2)/3),70:70)</f>
        <v>0</v>
      </c>
      <c r="G7" s="1819"/>
      <c r="H7" s="355">
        <f>SUMIF(69:69,YEAR(G7)&amp;"-"&amp;INT((MONTH(G7)+2)/3),70:70)</f>
        <v>0</v>
      </c>
      <c r="I7" s="1819"/>
      <c r="J7" s="355">
        <f>SUMIF(69:69,YEAR(I7)&amp;"-"&amp;INT((MONTH(I7)+2)/3),70:70)</f>
        <v>0</v>
      </c>
      <c r="K7" s="38"/>
      <c r="L7" s="2482"/>
      <c r="M7" s="2434"/>
      <c r="N7" s="2434"/>
      <c r="O7" s="2434"/>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4"/>
      <c r="N8" s="2434"/>
      <c r="O8" s="2434"/>
      <c r="P8" s="3427" t="s">
        <v>1683</v>
      </c>
      <c r="Q8" s="3426"/>
      <c r="R8" s="664" t="s">
        <v>14</v>
      </c>
      <c r="S8" s="665">
        <f t="shared" si="0"/>
        <v>0</v>
      </c>
      <c r="T8" s="664" t="s">
        <v>14</v>
      </c>
      <c r="U8" s="665">
        <f t="shared" si="1"/>
        <v>0</v>
      </c>
      <c r="V8" s="664" t="s">
        <v>14</v>
      </c>
      <c r="W8" s="665">
        <f t="shared" si="2"/>
        <v>0</v>
      </c>
      <c r="X8" s="666"/>
      <c r="Y8" s="3427" t="s">
        <v>1683</v>
      </c>
      <c r="Z8" s="3426"/>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4"/>
      <c r="N9" s="2434"/>
      <c r="O9" s="2534"/>
      <c r="P9" s="3387"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3"/>
      <c r="M10" s="2484"/>
      <c r="N10" s="2484"/>
      <c r="O10" s="2535"/>
      <c r="P10" s="3387"/>
      <c r="Q10" s="530" t="str">
        <f t="shared" si="6"/>
        <v>土地使用年限（年）</v>
      </c>
      <c r="R10" s="664" t="s">
        <v>14</v>
      </c>
      <c r="S10" s="665">
        <f t="shared" si="0"/>
        <v>127</v>
      </c>
      <c r="T10" s="664" t="s">
        <v>14</v>
      </c>
      <c r="U10" s="665">
        <f t="shared" si="1"/>
        <v>127</v>
      </c>
      <c r="V10" s="664" t="s">
        <v>14</v>
      </c>
      <c r="W10" s="665">
        <f t="shared" si="2"/>
        <v>127</v>
      </c>
      <c r="X10" s="666"/>
      <c r="Y10" s="3293"/>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387"/>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4"/>
      <c r="N12" s="2434"/>
      <c r="O12" s="2534"/>
      <c r="P12" s="3387"/>
      <c r="Q12" s="530" t="str">
        <f t="shared" si="6"/>
        <v>配建</v>
      </c>
      <c r="R12" s="664" t="s">
        <v>14</v>
      </c>
      <c r="S12" s="665">
        <f t="shared" si="0"/>
        <v>100</v>
      </c>
      <c r="T12" s="664" t="s">
        <v>14</v>
      </c>
      <c r="U12" s="665">
        <f t="shared" si="1"/>
        <v>100</v>
      </c>
      <c r="V12" s="664" t="s">
        <v>14</v>
      </c>
      <c r="W12" s="665">
        <f t="shared" si="2"/>
        <v>100</v>
      </c>
      <c r="X12" s="666"/>
      <c r="Y12" s="329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387"/>
      <c r="Q13" s="530">
        <f t="shared" si="6"/>
        <v>111</v>
      </c>
      <c r="R13" s="664" t="s">
        <v>14</v>
      </c>
      <c r="S13" s="665">
        <f t="shared" si="0"/>
        <v>100</v>
      </c>
      <c r="T13" s="664" t="s">
        <v>14</v>
      </c>
      <c r="U13" s="665">
        <f t="shared" si="1"/>
        <v>100</v>
      </c>
      <c r="V13" s="664" t="s">
        <v>14</v>
      </c>
      <c r="W13" s="665">
        <f t="shared" si="2"/>
        <v>100</v>
      </c>
      <c r="X13" s="666"/>
      <c r="Y13" s="3293"/>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387"/>
      <c r="Q14" s="530">
        <f t="shared" si="6"/>
        <v>111</v>
      </c>
      <c r="R14" s="664" t="s">
        <v>14</v>
      </c>
      <c r="S14" s="665">
        <f t="shared" si="0"/>
        <v>100</v>
      </c>
      <c r="T14" s="664" t="s">
        <v>14</v>
      </c>
      <c r="U14" s="665">
        <f t="shared" si="1"/>
        <v>100</v>
      </c>
      <c r="V14" s="664" t="s">
        <v>14</v>
      </c>
      <c r="W14" s="665">
        <f t="shared" si="2"/>
        <v>100</v>
      </c>
      <c r="X14" s="666"/>
      <c r="Y14" s="3293"/>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94" t="s">
        <v>1691</v>
      </c>
      <c r="Q15" s="1260" t="str">
        <f t="shared" si="6"/>
        <v>居住社区成熟度</v>
      </c>
      <c r="R15" s="667" t="s">
        <v>14</v>
      </c>
      <c r="S15" s="668">
        <f t="shared" si="0"/>
        <v>100</v>
      </c>
      <c r="T15" s="667" t="s">
        <v>14</v>
      </c>
      <c r="U15" s="668">
        <f t="shared" si="1"/>
        <v>100</v>
      </c>
      <c r="V15" s="667" t="s">
        <v>14</v>
      </c>
      <c r="W15" s="668">
        <f t="shared" si="2"/>
        <v>100</v>
      </c>
      <c r="X15" s="1262"/>
      <c r="Y15" s="3394"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6"/>
      <c r="M16" s="2481"/>
      <c r="N16" s="2481"/>
      <c r="O16" s="2536"/>
      <c r="P16" s="3395"/>
      <c r="Q16" s="1260"/>
      <c r="R16" s="667"/>
      <c r="S16" s="668"/>
      <c r="T16" s="667"/>
      <c r="U16" s="668"/>
      <c r="V16" s="667"/>
      <c r="W16" s="668"/>
      <c r="X16" s="1262"/>
      <c r="Y16" s="3395"/>
      <c r="Z16" s="1261"/>
      <c r="AA16" s="1261">
        <v>1</v>
      </c>
      <c r="AB16" s="1261">
        <v>1</v>
      </c>
      <c r="AC16" s="1261">
        <v>1</v>
      </c>
    </row>
    <row r="17" spans="1:29" ht="15">
      <c r="A17" s="367"/>
      <c r="B17" s="390" t="s">
        <v>1777</v>
      </c>
      <c r="C17" s="1803"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95"/>
      <c r="Q17" s="1260" t="str">
        <f>B17</f>
        <v>商业繁华度</v>
      </c>
      <c r="R17" s="667" t="s">
        <v>14</v>
      </c>
      <c r="S17" s="668">
        <f>F17</f>
        <v>100</v>
      </c>
      <c r="T17" s="667" t="s">
        <v>14</v>
      </c>
      <c r="U17" s="668">
        <f>H17</f>
        <v>100</v>
      </c>
      <c r="V17" s="667" t="s">
        <v>14</v>
      </c>
      <c r="W17" s="668">
        <f>J17</f>
        <v>100</v>
      </c>
      <c r="X17" s="1262"/>
      <c r="Y17" s="3395"/>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6"/>
      <c r="M18" s="2481"/>
      <c r="N18" s="2481"/>
      <c r="O18" s="2536"/>
      <c r="P18" s="3395"/>
      <c r="Q18" s="1260"/>
      <c r="R18" s="667"/>
      <c r="S18" s="668"/>
      <c r="T18" s="667"/>
      <c r="U18" s="668"/>
      <c r="V18" s="667"/>
      <c r="W18" s="668"/>
      <c r="X18" s="1262"/>
      <c r="Y18" s="3395"/>
      <c r="Z18" s="1261"/>
      <c r="AA18" s="1261">
        <v>1</v>
      </c>
      <c r="AB18" s="1261">
        <v>1</v>
      </c>
      <c r="AC18" s="1261">
        <v>1</v>
      </c>
    </row>
    <row r="19" spans="1:29" ht="15">
      <c r="A19" s="367"/>
      <c r="B19" s="390" t="s">
        <v>1811</v>
      </c>
      <c r="C19" s="1803"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95"/>
      <c r="Q19" s="1260" t="str">
        <f>B19</f>
        <v>办公集聚程度</v>
      </c>
      <c r="R19" s="667" t="s">
        <v>14</v>
      </c>
      <c r="S19" s="668">
        <f>F19</f>
        <v>100</v>
      </c>
      <c r="T19" s="667" t="s">
        <v>14</v>
      </c>
      <c r="U19" s="668">
        <f>H19</f>
        <v>100</v>
      </c>
      <c r="V19" s="667" t="s">
        <v>14</v>
      </c>
      <c r="W19" s="668">
        <f>J19</f>
        <v>100</v>
      </c>
      <c r="X19" s="1262"/>
      <c r="Y19" s="3395"/>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6"/>
      <c r="M20" s="2481"/>
      <c r="N20" s="2481"/>
      <c r="O20" s="2536"/>
      <c r="P20" s="3395"/>
      <c r="Q20" s="1260"/>
      <c r="R20" s="667"/>
      <c r="S20" s="668"/>
      <c r="T20" s="667"/>
      <c r="U20" s="668"/>
      <c r="V20" s="667"/>
      <c r="W20" s="668"/>
      <c r="X20" s="1262"/>
      <c r="Y20" s="3395"/>
      <c r="Z20" s="1261"/>
      <c r="AA20" s="1261">
        <v>1</v>
      </c>
      <c r="AB20" s="1261">
        <v>1</v>
      </c>
      <c r="AC20" s="1261">
        <v>1</v>
      </c>
    </row>
    <row r="21" spans="1:29" ht="15">
      <c r="A21" s="367"/>
      <c r="B21" s="390" t="s">
        <v>1833</v>
      </c>
      <c r="C21" s="1751"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95"/>
      <c r="Q21" s="1260" t="str">
        <f>B21</f>
        <v>交通便捷度</v>
      </c>
      <c r="R21" s="667" t="s">
        <v>14</v>
      </c>
      <c r="S21" s="668">
        <f>F21</f>
        <v>100</v>
      </c>
      <c r="T21" s="667" t="s">
        <v>14</v>
      </c>
      <c r="U21" s="668">
        <f>H21</f>
        <v>100</v>
      </c>
      <c r="V21" s="667" t="s">
        <v>14</v>
      </c>
      <c r="W21" s="668">
        <f>J21</f>
        <v>100</v>
      </c>
      <c r="X21" s="1262"/>
      <c r="Y21" s="3395"/>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6"/>
      <c r="M22" s="2481"/>
      <c r="N22" s="2481"/>
      <c r="O22" s="2536"/>
      <c r="P22" s="3395"/>
      <c r="Q22" s="1260"/>
      <c r="R22" s="667"/>
      <c r="S22" s="668"/>
      <c r="T22" s="667"/>
      <c r="U22" s="668"/>
      <c r="V22" s="667"/>
      <c r="W22" s="668"/>
      <c r="X22" s="1262"/>
      <c r="Y22" s="3395"/>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95"/>
      <c r="Q23" s="1260" t="str">
        <f t="shared" ref="Q23:Q37" si="8">B23</f>
        <v>区域土地利用方向</v>
      </c>
      <c r="R23" s="667" t="s">
        <v>14</v>
      </c>
      <c r="S23" s="668">
        <f>F23</f>
        <v>100</v>
      </c>
      <c r="T23" s="667" t="s">
        <v>14</v>
      </c>
      <c r="U23" s="668">
        <f>H23</f>
        <v>100</v>
      </c>
      <c r="V23" s="667" t="s">
        <v>14</v>
      </c>
      <c r="W23" s="668">
        <f>J23</f>
        <v>100</v>
      </c>
      <c r="X23" s="1262"/>
      <c r="Y23" s="3395"/>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6"/>
      <c r="M24" s="2481"/>
      <c r="N24" s="2481"/>
      <c r="O24" s="2536"/>
      <c r="P24" s="3395"/>
      <c r="Q24" s="1260"/>
      <c r="R24" s="667"/>
      <c r="S24" s="668"/>
      <c r="T24" s="667"/>
      <c r="U24" s="668"/>
      <c r="V24" s="667"/>
      <c r="W24" s="668"/>
      <c r="X24" s="1262"/>
      <c r="Y24" s="3395"/>
      <c r="Z24" s="1261"/>
      <c r="AA24" s="1261"/>
      <c r="AB24" s="1261"/>
      <c r="AC24" s="1261"/>
    </row>
    <row r="25" spans="1:29" ht="27">
      <c r="A25" s="348"/>
      <c r="B25" s="586" t="s">
        <v>1872</v>
      </c>
      <c r="C25" s="1803"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95"/>
      <c r="Q25" s="1260" t="str">
        <f t="shared" si="8"/>
        <v>自然及人文环境状况</v>
      </c>
      <c r="R25" s="667" t="s">
        <v>14</v>
      </c>
      <c r="S25" s="668">
        <f>F25</f>
        <v>100</v>
      </c>
      <c r="T25" s="667" t="s">
        <v>14</v>
      </c>
      <c r="U25" s="668">
        <f>H25</f>
        <v>100</v>
      </c>
      <c r="V25" s="667" t="s">
        <v>14</v>
      </c>
      <c r="W25" s="668">
        <f>J25</f>
        <v>100</v>
      </c>
      <c r="X25" s="1262"/>
      <c r="Y25" s="3395"/>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6"/>
      <c r="M26" s="2481"/>
      <c r="N26" s="2481"/>
      <c r="O26" s="2536"/>
      <c r="P26" s="3395"/>
      <c r="Q26" s="1260"/>
      <c r="R26" s="667"/>
      <c r="S26" s="668"/>
      <c r="T26" s="667"/>
      <c r="U26" s="668"/>
      <c r="V26" s="667"/>
      <c r="W26" s="668"/>
      <c r="X26" s="1262"/>
      <c r="Y26" s="3395"/>
      <c r="Z26" s="1261"/>
      <c r="AA26" s="1261">
        <v>1</v>
      </c>
      <c r="AB26" s="1261">
        <v>1</v>
      </c>
      <c r="AC26" s="1261">
        <v>1</v>
      </c>
    </row>
    <row r="27" spans="1:29" s="102" customFormat="1" ht="15">
      <c r="A27" s="443"/>
      <c r="B27" s="586" t="s">
        <v>1778</v>
      </c>
      <c r="C27" s="1751"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4"/>
      <c r="N27" s="2434"/>
      <c r="O27" s="2534"/>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2"/>
      <c r="M28" s="2434"/>
      <c r="N28" s="2434"/>
      <c r="O28" s="2534"/>
      <c r="P28" s="3395"/>
      <c r="Q28" s="530"/>
      <c r="R28" s="664"/>
      <c r="S28" s="665"/>
      <c r="T28" s="664"/>
      <c r="U28" s="665"/>
      <c r="V28" s="664"/>
      <c r="W28" s="665"/>
      <c r="X28" s="666"/>
      <c r="Y28" s="3395"/>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4"/>
      <c r="N29" s="2434"/>
      <c r="O29" s="2534"/>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2"/>
      <c r="M30" s="2434"/>
      <c r="N30" s="2434"/>
      <c r="O30" s="2534"/>
      <c r="P30" s="3395"/>
      <c r="Q30" s="530"/>
      <c r="R30" s="664"/>
      <c r="S30" s="665"/>
      <c r="T30" s="664"/>
      <c r="U30" s="665"/>
      <c r="V30" s="664"/>
      <c r="W30" s="665"/>
      <c r="X30" s="666"/>
      <c r="Y30" s="3395"/>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95"/>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95"/>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95"/>
      <c r="Q32" s="1260" t="str">
        <f t="shared" si="8"/>
        <v>毗邻道路的类型与等级</v>
      </c>
      <c r="R32" s="667" t="s">
        <v>14</v>
      </c>
      <c r="S32" s="668">
        <f t="shared" si="10"/>
        <v>100</v>
      </c>
      <c r="T32" s="667" t="s">
        <v>14</v>
      </c>
      <c r="U32" s="668">
        <f t="shared" si="11"/>
        <v>100</v>
      </c>
      <c r="V32" s="667" t="s">
        <v>14</v>
      </c>
      <c r="W32" s="668">
        <f t="shared" si="12"/>
        <v>100</v>
      </c>
      <c r="X32" s="1262"/>
      <c r="Y32" s="3395"/>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6"/>
      <c r="M33" s="2481"/>
      <c r="N33" s="2481"/>
      <c r="O33" s="2536"/>
      <c r="P33" s="3395"/>
      <c r="Q33" s="1260"/>
      <c r="R33" s="667"/>
      <c r="S33" s="668"/>
      <c r="T33" s="667"/>
      <c r="U33" s="668"/>
      <c r="V33" s="667"/>
      <c r="W33" s="668"/>
      <c r="X33" s="1262"/>
      <c r="Y33" s="3395"/>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95"/>
      <c r="Q34" s="1260" t="str">
        <f t="shared" si="8"/>
        <v>土地级别</v>
      </c>
      <c r="R34" s="667" t="s">
        <v>14</v>
      </c>
      <c r="S34" s="668">
        <f t="shared" si="10"/>
        <v>100</v>
      </c>
      <c r="T34" s="667" t="s">
        <v>14</v>
      </c>
      <c r="U34" s="668">
        <f t="shared" si="11"/>
        <v>100</v>
      </c>
      <c r="V34" s="667" t="s">
        <v>14</v>
      </c>
      <c r="W34" s="668">
        <f t="shared" si="12"/>
        <v>100</v>
      </c>
      <c r="X34" s="1262"/>
      <c r="Y34" s="3395"/>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95"/>
      <c r="Q35" s="1260">
        <f t="shared" si="8"/>
        <v>111</v>
      </c>
      <c r="R35" s="667" t="s">
        <v>14</v>
      </c>
      <c r="S35" s="668">
        <f t="shared" si="10"/>
        <v>100</v>
      </c>
      <c r="T35" s="667" t="s">
        <v>14</v>
      </c>
      <c r="U35" s="668">
        <f t="shared" si="11"/>
        <v>100</v>
      </c>
      <c r="V35" s="667" t="s">
        <v>14</v>
      </c>
      <c r="W35" s="668">
        <f t="shared" si="12"/>
        <v>100</v>
      </c>
      <c r="X35" s="1262"/>
      <c r="Y35" s="3395"/>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97" t="s">
        <v>1696</v>
      </c>
      <c r="Q36" s="1260">
        <f t="shared" si="8"/>
        <v>111</v>
      </c>
      <c r="R36" s="667" t="s">
        <v>14</v>
      </c>
      <c r="S36" s="668">
        <f t="shared" si="10"/>
        <v>100</v>
      </c>
      <c r="T36" s="667" t="s">
        <v>14</v>
      </c>
      <c r="U36" s="668">
        <f t="shared" si="11"/>
        <v>100</v>
      </c>
      <c r="V36" s="667" t="s">
        <v>14</v>
      </c>
      <c r="W36" s="668">
        <f t="shared" si="12"/>
        <v>100</v>
      </c>
      <c r="X36" s="1262"/>
      <c r="Y36" s="3399" t="s">
        <v>1696</v>
      </c>
      <c r="Z36" s="1261">
        <f t="shared" si="13"/>
        <v>111</v>
      </c>
      <c r="AA36" s="1261">
        <f t="shared" si="3"/>
        <v>1</v>
      </c>
      <c r="AB36" s="1261">
        <f t="shared" si="4"/>
        <v>1</v>
      </c>
      <c r="AC36" s="1261">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399"/>
      <c r="Q37" s="1260">
        <f t="shared" si="8"/>
        <v>111</v>
      </c>
      <c r="R37" s="669" t="s">
        <v>14</v>
      </c>
      <c r="S37" s="670">
        <f t="shared" si="10"/>
        <v>100</v>
      </c>
      <c r="T37" s="669" t="s">
        <v>14</v>
      </c>
      <c r="U37" s="670">
        <f t="shared" si="11"/>
        <v>100</v>
      </c>
      <c r="V37" s="669" t="s">
        <v>14</v>
      </c>
      <c r="W37" s="670">
        <f t="shared" si="12"/>
        <v>100</v>
      </c>
      <c r="X37" s="671"/>
      <c r="Y37" s="3399"/>
      <c r="Z37" s="672">
        <f t="shared" si="13"/>
        <v>111</v>
      </c>
      <c r="AA37" s="1261">
        <f t="shared" si="3"/>
        <v>1</v>
      </c>
      <c r="AB37" s="1261">
        <f t="shared" si="4"/>
        <v>1</v>
      </c>
      <c r="AC37" s="1261">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399"/>
      <c r="Q38" s="1260" t="str">
        <f>B38</f>
        <v>宗地面积</v>
      </c>
      <c r="R38" s="667" t="s">
        <v>14</v>
      </c>
      <c r="S38" s="668" t="e">
        <f t="shared" si="10"/>
        <v>#N/A</v>
      </c>
      <c r="T38" s="667" t="s">
        <v>14</v>
      </c>
      <c r="U38" s="668" t="e">
        <f t="shared" si="11"/>
        <v>#N/A</v>
      </c>
      <c r="V38" s="667" t="s">
        <v>14</v>
      </c>
      <c r="W38" s="668" t="e">
        <f t="shared" si="12"/>
        <v>#N/A</v>
      </c>
      <c r="X38" s="1262"/>
      <c r="Y38" s="3399"/>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6"/>
      <c r="M39" s="2481"/>
      <c r="N39" s="2481"/>
      <c r="O39" s="2536"/>
      <c r="P39" s="3399"/>
      <c r="Q39" s="1260" t="str">
        <f t="shared" ref="Q39:Q45" si="14">B39</f>
        <v>宗地形状</v>
      </c>
      <c r="R39" s="667" t="s">
        <v>14</v>
      </c>
      <c r="S39" s="668">
        <f t="shared" si="10"/>
        <v>100</v>
      </c>
      <c r="T39" s="667" t="s">
        <v>14</v>
      </c>
      <c r="U39" s="668">
        <f t="shared" si="11"/>
        <v>100</v>
      </c>
      <c r="V39" s="667" t="s">
        <v>14</v>
      </c>
      <c r="W39" s="668">
        <f t="shared" si="12"/>
        <v>100</v>
      </c>
      <c r="X39" s="1262"/>
      <c r="Y39" s="3399"/>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6"/>
      <c r="M40" s="2481"/>
      <c r="N40" s="2481"/>
      <c r="O40" s="2536"/>
      <c r="P40" s="3399"/>
      <c r="Q40" s="1260" t="str">
        <f t="shared" si="14"/>
        <v>临街宽度及深度</v>
      </c>
      <c r="R40" s="667" t="s">
        <v>14</v>
      </c>
      <c r="S40" s="668">
        <f t="shared" si="10"/>
        <v>100</v>
      </c>
      <c r="T40" s="667" t="s">
        <v>14</v>
      </c>
      <c r="U40" s="668">
        <f t="shared" si="11"/>
        <v>100</v>
      </c>
      <c r="V40" s="667" t="s">
        <v>14</v>
      </c>
      <c r="W40" s="668">
        <f t="shared" si="12"/>
        <v>100</v>
      </c>
      <c r="X40" s="1262"/>
      <c r="Y40" s="3399"/>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2"/>
      <c r="M41" s="2434"/>
      <c r="N41" s="2434"/>
      <c r="O41" s="2534"/>
      <c r="P41" s="3399"/>
      <c r="Q41" s="1260"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6"/>
      <c r="M42" s="2481"/>
      <c r="N42" s="2481"/>
      <c r="O42" s="2536"/>
      <c r="P42" s="3399" t="s">
        <v>1696</v>
      </c>
      <c r="Q42" s="1260" t="str">
        <f t="shared" si="14"/>
        <v>工程地质条件</v>
      </c>
      <c r="R42" s="667" t="s">
        <v>14</v>
      </c>
      <c r="S42" s="668">
        <f t="shared" si="10"/>
        <v>100</v>
      </c>
      <c r="T42" s="667" t="s">
        <v>14</v>
      </c>
      <c r="U42" s="668">
        <f t="shared" si="11"/>
        <v>100</v>
      </c>
      <c r="V42" s="667" t="s">
        <v>14</v>
      </c>
      <c r="W42" s="668">
        <f t="shared" si="12"/>
        <v>100</v>
      </c>
      <c r="X42" s="1262"/>
      <c r="Y42" s="3399"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399"/>
      <c r="Q43" s="1260">
        <f t="shared" si="14"/>
        <v>111</v>
      </c>
      <c r="R43" s="667" t="s">
        <v>14</v>
      </c>
      <c r="S43" s="668">
        <f t="shared" si="10"/>
        <v>100</v>
      </c>
      <c r="T43" s="667" t="s">
        <v>14</v>
      </c>
      <c r="U43" s="668">
        <f t="shared" si="11"/>
        <v>100</v>
      </c>
      <c r="V43" s="667" t="s">
        <v>14</v>
      </c>
      <c r="W43" s="668">
        <f t="shared" si="12"/>
        <v>100</v>
      </c>
      <c r="X43" s="1262"/>
      <c r="Y43" s="3399"/>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399"/>
      <c r="Q44" s="1260">
        <f t="shared" si="14"/>
        <v>111</v>
      </c>
      <c r="R44" s="667" t="s">
        <v>14</v>
      </c>
      <c r="S44" s="668">
        <f t="shared" si="10"/>
        <v>100</v>
      </c>
      <c r="T44" s="667" t="s">
        <v>14</v>
      </c>
      <c r="U44" s="668">
        <f t="shared" si="11"/>
        <v>100</v>
      </c>
      <c r="V44" s="667" t="s">
        <v>14</v>
      </c>
      <c r="W44" s="668">
        <f t="shared" si="12"/>
        <v>100</v>
      </c>
      <c r="X44" s="1262"/>
      <c r="Y44" s="3399"/>
      <c r="Z44" s="1261">
        <f t="shared" si="13"/>
        <v>111</v>
      </c>
      <c r="AA44" s="1261">
        <f t="shared" si="3"/>
        <v>1</v>
      </c>
      <c r="AB44" s="1261">
        <f t="shared" si="4"/>
        <v>1</v>
      </c>
      <c r="AC44" s="1261">
        <f t="shared" si="5"/>
        <v>1</v>
      </c>
    </row>
    <row r="45" spans="1:29" s="408" customFormat="1" ht="15.75"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399"/>
      <c r="Q45" s="1260">
        <f t="shared" si="14"/>
        <v>111</v>
      </c>
      <c r="R45" s="669" t="s">
        <v>14</v>
      </c>
      <c r="S45" s="670">
        <f t="shared" si="10"/>
        <v>100</v>
      </c>
      <c r="T45" s="669" t="s">
        <v>14</v>
      </c>
      <c r="U45" s="670">
        <f t="shared" si="11"/>
        <v>100</v>
      </c>
      <c r="V45" s="669" t="s">
        <v>14</v>
      </c>
      <c r="W45" s="670">
        <f t="shared" si="12"/>
        <v>100</v>
      </c>
      <c r="X45" s="671"/>
      <c r="Y45" s="3399"/>
      <c r="Z45" s="672">
        <f t="shared" si="13"/>
        <v>111</v>
      </c>
      <c r="AA45" s="1261">
        <f t="shared" si="3"/>
        <v>1</v>
      </c>
      <c r="AB45" s="1261">
        <f t="shared" si="4"/>
        <v>1</v>
      </c>
      <c r="AC45" s="1261">
        <f t="shared" si="5"/>
        <v>1</v>
      </c>
    </row>
    <row r="46" spans="1:29" ht="15">
      <c r="A46" s="416" t="s">
        <v>1844</v>
      </c>
      <c r="B46" s="1827" t="s">
        <v>1879</v>
      </c>
      <c r="C46" s="602" t="s">
        <v>0</v>
      </c>
      <c r="D46" s="418"/>
      <c r="E46" s="419"/>
      <c r="F46" s="420"/>
      <c r="G46" s="421"/>
      <c r="H46" s="422"/>
      <c r="I46" s="419"/>
      <c r="J46" s="422"/>
      <c r="K46" s="674"/>
      <c r="L46" s="2488"/>
      <c r="M46" s="2481"/>
      <c r="N46" s="2481"/>
      <c r="O46" s="2481"/>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88"/>
      <c r="M47" s="2481"/>
      <c r="N47" s="2481"/>
      <c r="O47" s="2481"/>
      <c r="P47" s="3387" t="str">
        <f>A47</f>
        <v>比较价值（元/平方米）</v>
      </c>
      <c r="Q47" s="3387"/>
      <c r="R47" s="3499" t="e">
        <f>ROUND(PRODUCT(R46,AA7:AA45),0)</f>
        <v>#DIV/0!</v>
      </c>
      <c r="S47" s="3499"/>
      <c r="T47" s="3499" t="e">
        <f>ROUND(PRODUCT(T46,AB7:AB45),0)</f>
        <v>#DIV/0!</v>
      </c>
      <c r="U47" s="3499"/>
      <c r="V47" s="3499" t="e">
        <f>ROUND(PRODUCT(V46,AC7:AC45),0)</f>
        <v>#DIV/0!</v>
      </c>
      <c r="W47" s="349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8"/>
      <c r="M48" s="2481"/>
      <c r="N48" s="2481"/>
      <c r="O48" s="2481"/>
      <c r="P48" s="3486" t="str">
        <f>A48</f>
        <v>估价对象XX用房的比较价值（楼面单价，元/平方米）</v>
      </c>
      <c r="Q48" s="3487"/>
      <c r="R48" s="3500" t="e">
        <f>ROUND(IF(D47="简单平均",AVERAGE(R47:W47),R47*F47+T47*H47+V47*J47),0)</f>
        <v>#DIV/0!</v>
      </c>
      <c r="S48" s="3500"/>
      <c r="T48" s="3500"/>
      <c r="U48" s="3500"/>
      <c r="V48" s="3500"/>
      <c r="W48" s="3500"/>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28" t="s">
        <v>1883</v>
      </c>
      <c r="D55" s="1829" t="s">
        <v>1884</v>
      </c>
      <c r="E55" s="606" t="s">
        <v>1885</v>
      </c>
      <c r="F55" s="834" t="s">
        <v>1886</v>
      </c>
      <c r="G55" s="3404" t="s">
        <v>1887</v>
      </c>
      <c r="H55" s="3501"/>
      <c r="I55" s="127"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87">
        <v>1</v>
      </c>
      <c r="E56" s="610">
        <f>'数据-汇总表'!E8+'数据-汇总表'!E9</f>
        <v>62894.500000000007</v>
      </c>
      <c r="F56" s="830" t="e">
        <f t="shared" ref="F56:F64" si="15">ROUND(B56*E56/10000,0)</f>
        <v>#DIV/0!</v>
      </c>
      <c r="G56" s="3386"/>
      <c r="H56" s="3387"/>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0.7</v>
      </c>
      <c r="D57" s="888">
        <v>0.25</v>
      </c>
      <c r="E57" s="614"/>
      <c r="F57" s="830" t="e">
        <f t="shared" si="15"/>
        <v>#DIV/0!</v>
      </c>
      <c r="G57" s="2744" t="s">
        <v>1892</v>
      </c>
      <c r="H57" s="831" t="str">
        <f>项目基本情况!B37</f>
        <v>二级</v>
      </c>
      <c r="I57" s="835">
        <f>SUMIF(修正!A57:A68,H57,修正!B57:B68)</f>
        <v>0.7</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0.4</v>
      </c>
      <c r="D58" s="888">
        <v>0.25</v>
      </c>
      <c r="E58" s="614"/>
      <c r="F58" s="830" t="e">
        <f t="shared" si="15"/>
        <v>#DIV/0!</v>
      </c>
      <c r="G58" s="2745"/>
      <c r="H58" s="831" t="str">
        <f>项目基本情况!B37</f>
        <v>二级</v>
      </c>
      <c r="I58" s="835">
        <f>SUMIF(修正!A57:A68,H58,修正!C57:C68)</f>
        <v>0.4</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0.3</v>
      </c>
      <c r="D59" s="888">
        <v>0.25</v>
      </c>
      <c r="E59" s="614"/>
      <c r="F59" s="830" t="e">
        <f t="shared" si="15"/>
        <v>#DIV/0!</v>
      </c>
      <c r="G59" s="2745"/>
      <c r="H59" s="831" t="str">
        <f>项目基本情况!B37</f>
        <v>二级</v>
      </c>
      <c r="I59" s="835">
        <f>SUMIF(修正!A57:A68,H59,修正!D57:D68)</f>
        <v>0.3</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二级</v>
      </c>
      <c r="I60" s="835">
        <f>SUMIF(修正!A57:A68,H60,修正!E57:E68)</f>
        <v>0.3</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8">
        <v>0.25</v>
      </c>
      <c r="E62" s="209">
        <f>'数据-汇总表'!E13</f>
        <v>14601.09</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0.2</v>
      </c>
      <c r="D63" s="888">
        <v>0.25</v>
      </c>
      <c r="E63" s="209">
        <f>'数据-汇总表'!E14</f>
        <v>0</v>
      </c>
      <c r="F63" s="830" t="e">
        <f t="shared" si="15"/>
        <v>#DIV/0!</v>
      </c>
      <c r="G63" s="1832" t="s">
        <v>1892</v>
      </c>
      <c r="H63" s="831" t="str">
        <f>项目基本情况!B37</f>
        <v>二级</v>
      </c>
      <c r="I63" s="835">
        <f>SUMIF(修正!A57:A68,H63,修正!G57:G68)</f>
        <v>0.2</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5" thickBot="1">
      <c r="A64" s="613" t="s">
        <v>1902</v>
      </c>
      <c r="B64" s="210" t="e">
        <f t="shared" si="17"/>
        <v>#DIV/0!</v>
      </c>
      <c r="C64" s="163">
        <f t="shared" si="16"/>
        <v>0.2</v>
      </c>
      <c r="D64" s="888">
        <v>0.25</v>
      </c>
      <c r="E64" s="209">
        <f>'数据-汇总表'!E15</f>
        <v>0</v>
      </c>
      <c r="F64" s="830" t="e">
        <f t="shared" si="15"/>
        <v>#DIV/0!</v>
      </c>
      <c r="G64" s="1833" t="s">
        <v>1896</v>
      </c>
      <c r="H64" s="841" t="str">
        <f>项目基本情况!C37</f>
        <v>二级</v>
      </c>
      <c r="I64" s="837">
        <f>SUMIF(修正!A57:A68,H64,修正!G57:G68)</f>
        <v>0.2</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ht="13.5" thickBot="1">
      <c r="A65" s="615" t="s">
        <v>1903</v>
      </c>
      <c r="B65" s="616" t="s">
        <v>22</v>
      </c>
      <c r="C65" s="616" t="s">
        <v>23</v>
      </c>
      <c r="D65" s="616" t="s">
        <v>392</v>
      </c>
      <c r="E65" s="616">
        <f>IF(B46="楼面地价",SUM(E56:E64),'数据-汇总表'!D3)</f>
        <v>77495.590000000011</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1"/>
      <c r="Q67" s="2481"/>
      <c r="R67" s="2481"/>
      <c r="S67" s="2481"/>
      <c r="T67" s="2481"/>
      <c r="U67" s="2481"/>
      <c r="V67" s="2481"/>
      <c r="W67" s="2481"/>
      <c r="X67" s="2481"/>
      <c r="Y67" s="2481"/>
      <c r="Z67" s="2481"/>
      <c r="AA67" s="2481"/>
      <c r="AB67" s="2481"/>
      <c r="AC67" s="2481"/>
    </row>
    <row r="68" spans="1:29" ht="21.75" thickBot="1">
      <c r="A68" s="658" t="s">
        <v>1798</v>
      </c>
      <c r="B68" s="385"/>
      <c r="C68" s="659"/>
      <c r="D68" s="659"/>
      <c r="E68" s="659"/>
      <c r="F68" s="660"/>
      <c r="G68" s="660"/>
      <c r="H68" s="659"/>
      <c r="I68" s="659"/>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2" customFormat="1" ht="15.75" thickBot="1">
      <c r="A71" s="449" t="s">
        <v>1716</v>
      </c>
      <c r="B71" s="450"/>
      <c r="C71" s="451"/>
      <c r="D71" s="452"/>
      <c r="E71" s="452"/>
      <c r="F71" s="452"/>
      <c r="G71" s="452"/>
      <c r="H71" s="452"/>
      <c r="I71" s="452"/>
      <c r="J71" s="452"/>
      <c r="K71" s="452"/>
      <c r="L71" s="452"/>
      <c r="M71" s="453"/>
      <c r="N71" s="452"/>
      <c r="O71" s="886"/>
      <c r="P71" s="2502"/>
      <c r="Q71" s="2502"/>
      <c r="R71" s="2434"/>
      <c r="S71" s="2434"/>
      <c r="T71" s="2434"/>
      <c r="U71" s="2434"/>
      <c r="V71" s="2434"/>
      <c r="W71" s="2434"/>
      <c r="X71" s="2434"/>
      <c r="Y71" s="2434"/>
      <c r="Z71" s="2434"/>
      <c r="AA71" s="2434"/>
      <c r="AB71" s="2434"/>
      <c r="AC71" s="2434"/>
    </row>
    <row r="72" spans="1:29" s="102" customFormat="1" ht="15">
      <c r="A72" s="455" t="s">
        <v>1681</v>
      </c>
      <c r="B72" s="444"/>
      <c r="C72" s="456" t="s">
        <v>1776</v>
      </c>
      <c r="D72" s="31"/>
      <c r="E72" s="31"/>
      <c r="F72" s="31"/>
      <c r="G72" s="31"/>
      <c r="H72" s="31"/>
      <c r="I72" s="31"/>
      <c r="J72" s="31"/>
      <c r="K72" s="31"/>
      <c r="L72" s="457"/>
      <c r="M72" s="458"/>
      <c r="N72" s="2514"/>
      <c r="O72" s="2514"/>
      <c r="P72" s="2538"/>
      <c r="Q72" s="2502"/>
      <c r="R72" s="2434"/>
      <c r="S72" s="2434"/>
      <c r="T72" s="2434"/>
      <c r="U72" s="2434"/>
      <c r="V72" s="2434"/>
      <c r="W72" s="2434"/>
      <c r="X72" s="2434"/>
      <c r="Y72" s="2434"/>
      <c r="Z72" s="2434"/>
      <c r="AA72" s="2434"/>
      <c r="AB72" s="2434"/>
      <c r="AC72" s="2434"/>
    </row>
    <row r="73" spans="1:29" s="102" customFormat="1" ht="15.75" thickBot="1">
      <c r="A73" s="455"/>
      <c r="B73" s="444"/>
      <c r="C73" s="563">
        <v>100</v>
      </c>
      <c r="D73" s="446"/>
      <c r="E73" s="446"/>
      <c r="F73" s="446"/>
      <c r="G73" s="446"/>
      <c r="H73" s="446"/>
      <c r="I73" s="446"/>
      <c r="J73" s="446"/>
      <c r="K73" s="446"/>
      <c r="L73" s="446"/>
      <c r="M73" s="448"/>
      <c r="N73" s="2514"/>
      <c r="O73" s="2514"/>
      <c r="P73" s="2502"/>
      <c r="Q73" s="2502"/>
      <c r="R73" s="2434"/>
      <c r="S73" s="2434"/>
      <c r="T73" s="2434"/>
      <c r="U73" s="2434"/>
      <c r="V73" s="2434"/>
      <c r="W73" s="2434"/>
      <c r="X73" s="2434"/>
      <c r="Y73" s="2434"/>
      <c r="Z73" s="2434"/>
      <c r="AA73" s="2434"/>
      <c r="AB73" s="2434"/>
      <c r="AC73" s="2434"/>
    </row>
    <row r="74" spans="1:29">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4"/>
      <c r="S96" s="2434"/>
      <c r="T96" s="2434"/>
      <c r="U96" s="2434"/>
      <c r="V96" s="2434"/>
      <c r="W96" s="2434"/>
      <c r="X96" s="2434"/>
      <c r="Y96" s="2434"/>
      <c r="Z96" s="2434"/>
      <c r="AA96" s="2434"/>
      <c r="AB96" s="2434"/>
      <c r="AC96" s="2434"/>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4"/>
      <c r="S98" s="2434"/>
      <c r="T98" s="2434"/>
      <c r="U98" s="2434"/>
      <c r="V98" s="2434"/>
      <c r="W98" s="2434"/>
      <c r="X98" s="2434"/>
      <c r="Y98" s="2434"/>
      <c r="Z98" s="2434"/>
      <c r="AA98" s="2434"/>
      <c r="AB98" s="2434"/>
      <c r="AC98" s="2434"/>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0"/>
      <c r="M4" s="2481"/>
      <c r="N4" s="2481"/>
      <c r="O4" s="2481"/>
      <c r="P4" s="3490" t="s">
        <v>1775</v>
      </c>
      <c r="Q4" s="3491"/>
      <c r="R4" s="3494" t="s">
        <v>1771</v>
      </c>
      <c r="S4" s="3495"/>
      <c r="T4" s="3494" t="s">
        <v>1772</v>
      </c>
      <c r="U4" s="3495"/>
      <c r="V4" s="3388" t="s">
        <v>1773</v>
      </c>
      <c r="W4" s="3388"/>
      <c r="X4" s="1262"/>
      <c r="Y4" s="3494" t="s">
        <v>1775</v>
      </c>
      <c r="Z4" s="3495"/>
      <c r="AA4" s="3489" t="s">
        <v>1771</v>
      </c>
      <c r="AB4" s="3434" t="s">
        <v>1772</v>
      </c>
      <c r="AC4" s="3489" t="s">
        <v>1773</v>
      </c>
    </row>
    <row r="5" spans="1:29" ht="15">
      <c r="A5" s="348"/>
      <c r="B5" s="349"/>
      <c r="C5" s="3429" t="s">
        <v>1673</v>
      </c>
      <c r="D5" s="3424"/>
      <c r="E5" s="3496" t="s">
        <v>1674</v>
      </c>
      <c r="F5" s="3437"/>
      <c r="G5" s="3429" t="s">
        <v>1675</v>
      </c>
      <c r="H5" s="3424"/>
      <c r="I5" s="3429" t="s">
        <v>1676</v>
      </c>
      <c r="J5" s="3424"/>
      <c r="K5" s="537"/>
      <c r="L5" s="2480"/>
      <c r="M5" s="2481"/>
      <c r="N5" s="2481"/>
      <c r="O5" s="2481"/>
      <c r="P5" s="3492"/>
      <c r="Q5" s="3411"/>
      <c r="R5" s="3416"/>
      <c r="S5" s="3417"/>
      <c r="T5" s="3416"/>
      <c r="U5" s="3417"/>
      <c r="V5" s="3388"/>
      <c r="W5" s="3388"/>
      <c r="X5" s="1262"/>
      <c r="Y5" s="3416"/>
      <c r="Z5" s="3417"/>
      <c r="AA5" s="3434"/>
      <c r="AB5" s="3434"/>
      <c r="AC5" s="3434"/>
    </row>
    <row r="6" spans="1:29" ht="15.75" thickBot="1">
      <c r="A6" s="350"/>
      <c r="B6" s="351"/>
      <c r="C6" s="3502" t="s">
        <v>1919</v>
      </c>
      <c r="D6" s="3503"/>
      <c r="E6" s="3504" t="s">
        <v>1919</v>
      </c>
      <c r="F6" s="3505"/>
      <c r="G6" s="3502" t="s">
        <v>1919</v>
      </c>
      <c r="H6" s="3503"/>
      <c r="I6" s="3502" t="s">
        <v>1919</v>
      </c>
      <c r="J6" s="3503"/>
      <c r="K6" s="537" t="s">
        <v>1678</v>
      </c>
      <c r="L6" s="2480"/>
      <c r="M6" s="2481"/>
      <c r="N6" s="2481"/>
      <c r="O6" s="2481"/>
      <c r="P6" s="3493"/>
      <c r="Q6" s="3413"/>
      <c r="R6" s="3416"/>
      <c r="S6" s="3417"/>
      <c r="T6" s="3418"/>
      <c r="U6" s="3419"/>
      <c r="V6" s="3388"/>
      <c r="W6" s="3388"/>
      <c r="X6" s="1262"/>
      <c r="Y6" s="3418"/>
      <c r="Z6" s="3419"/>
      <c r="AA6" s="3435"/>
      <c r="AB6" s="3435"/>
      <c r="AC6" s="3435"/>
    </row>
    <row r="7" spans="1:29" s="102" customFormat="1" ht="15.75" thickBot="1">
      <c r="A7" s="352" t="s">
        <v>1679</v>
      </c>
      <c r="B7" s="353"/>
      <c r="C7" s="354">
        <f>'数据-取费表'!B2</f>
        <v>45635</v>
      </c>
      <c r="D7" s="355">
        <v>100</v>
      </c>
      <c r="E7" s="356"/>
      <c r="F7" s="357">
        <f>SUMIF(65:65,YEAR(E7)&amp;"-"&amp;INT((MONTH(E7)+2)/3),66:66)</f>
        <v>0</v>
      </c>
      <c r="G7" s="1819"/>
      <c r="H7" s="355">
        <f>SUMIF(65:65,YEAR(G7)&amp;"-"&amp;INT((MONTH(G7)+2)/3),66:66)</f>
        <v>0</v>
      </c>
      <c r="I7" s="1819"/>
      <c r="J7" s="355">
        <f>SUMIF(65:65,YEAR(I7)&amp;"-"&amp;INT((MONTH(I7)+2)/3),66:66)</f>
        <v>0</v>
      </c>
      <c r="K7" s="38"/>
      <c r="L7" s="2482"/>
      <c r="M7" s="2434"/>
      <c r="N7" s="2434"/>
      <c r="O7" s="2434"/>
      <c r="P7" s="3427" t="s">
        <v>1680</v>
      </c>
      <c r="Q7" s="3428"/>
      <c r="R7" s="664" t="s">
        <v>14</v>
      </c>
      <c r="S7" s="665">
        <f t="shared" ref="S7:S15" si="0">F7</f>
        <v>0</v>
      </c>
      <c r="T7" s="664" t="s">
        <v>14</v>
      </c>
      <c r="U7" s="665">
        <f t="shared" ref="U7:U15" si="1">H7</f>
        <v>0</v>
      </c>
      <c r="V7" s="664" t="s">
        <v>14</v>
      </c>
      <c r="W7" s="665">
        <f t="shared" ref="W7:W15" si="2">J7</f>
        <v>0</v>
      </c>
      <c r="X7" s="666"/>
      <c r="Y7" s="3427" t="s">
        <v>1680</v>
      </c>
      <c r="Z7" s="342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4"/>
      <c r="N8" s="2434"/>
      <c r="O8" s="2434"/>
      <c r="P8" s="3427" t="s">
        <v>1683</v>
      </c>
      <c r="Q8" s="3426"/>
      <c r="R8" s="664" t="s">
        <v>14</v>
      </c>
      <c r="S8" s="665">
        <f t="shared" si="0"/>
        <v>0</v>
      </c>
      <c r="T8" s="664" t="s">
        <v>14</v>
      </c>
      <c r="U8" s="665">
        <f t="shared" si="1"/>
        <v>0</v>
      </c>
      <c r="V8" s="664" t="s">
        <v>14</v>
      </c>
      <c r="W8" s="665">
        <f t="shared" si="2"/>
        <v>0</v>
      </c>
      <c r="X8" s="666"/>
      <c r="Y8" s="3427" t="s">
        <v>1683</v>
      </c>
      <c r="Z8" s="3426"/>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4"/>
      <c r="N9" s="2434"/>
      <c r="O9" s="2534"/>
      <c r="P9" s="3387"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3"/>
      <c r="M10" s="2484"/>
      <c r="N10" s="2484"/>
      <c r="O10" s="2535"/>
      <c r="P10" s="3387"/>
      <c r="Q10" s="530" t="str">
        <f t="shared" si="6"/>
        <v>土地使用年限（年）</v>
      </c>
      <c r="R10" s="664" t="s">
        <v>14</v>
      </c>
      <c r="S10" s="665">
        <f t="shared" si="0"/>
        <v>127</v>
      </c>
      <c r="T10" s="664" t="s">
        <v>14</v>
      </c>
      <c r="U10" s="665">
        <f t="shared" si="1"/>
        <v>127</v>
      </c>
      <c r="V10" s="664" t="s">
        <v>14</v>
      </c>
      <c r="W10" s="665">
        <f t="shared" si="2"/>
        <v>127</v>
      </c>
      <c r="X10" s="666"/>
      <c r="Y10" s="3293"/>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387"/>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4"/>
      <c r="N12" s="2434"/>
      <c r="O12" s="2534"/>
      <c r="P12" s="3387"/>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387"/>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387"/>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94" t="s">
        <v>1691</v>
      </c>
      <c r="Q15" s="1260" t="str">
        <f t="shared" si="6"/>
        <v>产业集聚程度</v>
      </c>
      <c r="R15" s="667" t="s">
        <v>14</v>
      </c>
      <c r="S15" s="668">
        <f t="shared" si="0"/>
        <v>100</v>
      </c>
      <c r="T15" s="667" t="s">
        <v>14</v>
      </c>
      <c r="U15" s="668">
        <f t="shared" si="1"/>
        <v>100</v>
      </c>
      <c r="V15" s="667" t="s">
        <v>14</v>
      </c>
      <c r="W15" s="668">
        <f t="shared" si="2"/>
        <v>100</v>
      </c>
      <c r="X15" s="1262"/>
      <c r="Y15" s="3394"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6"/>
      <c r="M16" s="2481"/>
      <c r="N16" s="2481"/>
      <c r="O16" s="2536"/>
      <c r="P16" s="3395"/>
      <c r="Q16" s="1260"/>
      <c r="R16" s="667"/>
      <c r="S16" s="668"/>
      <c r="T16" s="667"/>
      <c r="U16" s="668"/>
      <c r="V16" s="667"/>
      <c r="W16" s="668"/>
      <c r="X16" s="1262"/>
      <c r="Y16" s="3395"/>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95"/>
      <c r="Q17" s="1260" t="str">
        <f>B17</f>
        <v>交通便捷度</v>
      </c>
      <c r="R17" s="667" t="s">
        <v>14</v>
      </c>
      <c r="S17" s="668">
        <f>F17</f>
        <v>100</v>
      </c>
      <c r="T17" s="667" t="s">
        <v>14</v>
      </c>
      <c r="U17" s="668">
        <f>H17</f>
        <v>100</v>
      </c>
      <c r="V17" s="667" t="s">
        <v>14</v>
      </c>
      <c r="W17" s="668">
        <f>J17</f>
        <v>100</v>
      </c>
      <c r="X17" s="1262"/>
      <c r="Y17" s="3395"/>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6"/>
      <c r="M18" s="2481"/>
      <c r="N18" s="2481"/>
      <c r="O18" s="2536"/>
      <c r="P18" s="3395"/>
      <c r="Q18" s="1260"/>
      <c r="R18" s="667"/>
      <c r="S18" s="668"/>
      <c r="T18" s="667"/>
      <c r="U18" s="668"/>
      <c r="V18" s="667"/>
      <c r="W18" s="668"/>
      <c r="X18" s="1262"/>
      <c r="Y18" s="3395"/>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95"/>
      <c r="Q19" s="1260" t="str">
        <f t="shared" ref="Q19:Q33" si="8">B19</f>
        <v>区域土地利用方向</v>
      </c>
      <c r="R19" s="667" t="s">
        <v>14</v>
      </c>
      <c r="S19" s="668">
        <f>F19</f>
        <v>100</v>
      </c>
      <c r="T19" s="667" t="s">
        <v>14</v>
      </c>
      <c r="U19" s="668">
        <f>H19</f>
        <v>100</v>
      </c>
      <c r="V19" s="667" t="s">
        <v>14</v>
      </c>
      <c r="W19" s="668">
        <f>J19</f>
        <v>100</v>
      </c>
      <c r="X19" s="1262"/>
      <c r="Y19" s="3395"/>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6"/>
      <c r="M20" s="2481"/>
      <c r="N20" s="2481"/>
      <c r="O20" s="2536"/>
      <c r="P20" s="3395"/>
      <c r="Q20" s="1260"/>
      <c r="R20" s="667"/>
      <c r="S20" s="668"/>
      <c r="T20" s="667"/>
      <c r="U20" s="668"/>
      <c r="V20" s="667"/>
      <c r="W20" s="668"/>
      <c r="X20" s="1262"/>
      <c r="Y20" s="3395"/>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95"/>
      <c r="Q21" s="1260" t="str">
        <f t="shared" si="8"/>
        <v>环境状况</v>
      </c>
      <c r="R21" s="667" t="s">
        <v>14</v>
      </c>
      <c r="S21" s="668">
        <f>F21</f>
        <v>100</v>
      </c>
      <c r="T21" s="667" t="s">
        <v>14</v>
      </c>
      <c r="U21" s="668">
        <f>H21</f>
        <v>100</v>
      </c>
      <c r="V21" s="667" t="s">
        <v>14</v>
      </c>
      <c r="W21" s="668">
        <f>J21</f>
        <v>100</v>
      </c>
      <c r="X21" s="1262"/>
      <c r="Y21" s="3395"/>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6"/>
      <c r="M22" s="2481"/>
      <c r="N22" s="2481"/>
      <c r="O22" s="2536"/>
      <c r="P22" s="3395"/>
      <c r="Q22" s="1260"/>
      <c r="R22" s="667"/>
      <c r="S22" s="668"/>
      <c r="T22" s="667"/>
      <c r="U22" s="668"/>
      <c r="V22" s="667"/>
      <c r="W22" s="668"/>
      <c r="X22" s="1262"/>
      <c r="Y22" s="3395"/>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4"/>
      <c r="N23" s="2434"/>
      <c r="O23" s="2534"/>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2"/>
      <c r="M24" s="2434"/>
      <c r="N24" s="2434"/>
      <c r="O24" s="2534"/>
      <c r="P24" s="3395"/>
      <c r="Q24" s="530"/>
      <c r="R24" s="664"/>
      <c r="S24" s="665"/>
      <c r="T24" s="664"/>
      <c r="U24" s="665"/>
      <c r="V24" s="664"/>
      <c r="W24" s="665"/>
      <c r="X24" s="666"/>
      <c r="Y24" s="3395"/>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4"/>
      <c r="N25" s="2434"/>
      <c r="O25" s="2534"/>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2"/>
      <c r="M26" s="2434"/>
      <c r="N26" s="2434"/>
      <c r="O26" s="2534"/>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95"/>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95"/>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95"/>
      <c r="Q28" s="1260" t="str">
        <f t="shared" si="8"/>
        <v>毗邻道路的类型与等级</v>
      </c>
      <c r="R28" s="667" t="s">
        <v>14</v>
      </c>
      <c r="S28" s="668">
        <f t="shared" si="10"/>
        <v>100</v>
      </c>
      <c r="T28" s="667" t="s">
        <v>14</v>
      </c>
      <c r="U28" s="668">
        <f t="shared" si="11"/>
        <v>100</v>
      </c>
      <c r="V28" s="667" t="s">
        <v>14</v>
      </c>
      <c r="W28" s="668">
        <f t="shared" si="12"/>
        <v>100</v>
      </c>
      <c r="X28" s="1262"/>
      <c r="Y28" s="3395"/>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6"/>
      <c r="M29" s="2481"/>
      <c r="N29" s="2481"/>
      <c r="O29" s="2536"/>
      <c r="P29" s="3395"/>
      <c r="Q29" s="1260"/>
      <c r="R29" s="667"/>
      <c r="S29" s="668"/>
      <c r="T29" s="667"/>
      <c r="U29" s="668"/>
      <c r="V29" s="667"/>
      <c r="W29" s="668"/>
      <c r="X29" s="1262"/>
      <c r="Y29" s="3395"/>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95"/>
      <c r="Q30" s="1260" t="str">
        <f t="shared" si="8"/>
        <v>土地级别</v>
      </c>
      <c r="R30" s="667" t="s">
        <v>14</v>
      </c>
      <c r="S30" s="668">
        <f t="shared" si="10"/>
        <v>100</v>
      </c>
      <c r="T30" s="667" t="s">
        <v>14</v>
      </c>
      <c r="U30" s="668">
        <f t="shared" si="11"/>
        <v>100</v>
      </c>
      <c r="V30" s="667" t="s">
        <v>14</v>
      </c>
      <c r="W30" s="668">
        <f t="shared" si="12"/>
        <v>100</v>
      </c>
      <c r="X30" s="1262"/>
      <c r="Y30" s="3395"/>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95"/>
      <c r="Q31" s="1260">
        <f t="shared" si="8"/>
        <v>111</v>
      </c>
      <c r="R31" s="667" t="s">
        <v>14</v>
      </c>
      <c r="S31" s="668">
        <f t="shared" si="10"/>
        <v>100</v>
      </c>
      <c r="T31" s="667" t="s">
        <v>14</v>
      </c>
      <c r="U31" s="668">
        <f t="shared" si="11"/>
        <v>100</v>
      </c>
      <c r="V31" s="667" t="s">
        <v>14</v>
      </c>
      <c r="W31" s="668">
        <f t="shared" si="12"/>
        <v>100</v>
      </c>
      <c r="X31" s="1262"/>
      <c r="Y31" s="3395"/>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97" t="s">
        <v>1696</v>
      </c>
      <c r="Q32" s="1260">
        <f t="shared" si="8"/>
        <v>111</v>
      </c>
      <c r="R32" s="667" t="s">
        <v>14</v>
      </c>
      <c r="S32" s="668">
        <f t="shared" si="10"/>
        <v>100</v>
      </c>
      <c r="T32" s="667" t="s">
        <v>14</v>
      </c>
      <c r="U32" s="668">
        <f t="shared" si="11"/>
        <v>100</v>
      </c>
      <c r="V32" s="667" t="s">
        <v>14</v>
      </c>
      <c r="W32" s="668">
        <f t="shared" si="12"/>
        <v>100</v>
      </c>
      <c r="X32" s="1262"/>
      <c r="Y32" s="3399"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399"/>
      <c r="Q33" s="1260">
        <f t="shared" si="8"/>
        <v>111</v>
      </c>
      <c r="R33" s="669" t="s">
        <v>14</v>
      </c>
      <c r="S33" s="670">
        <f t="shared" si="10"/>
        <v>100</v>
      </c>
      <c r="T33" s="669" t="s">
        <v>14</v>
      </c>
      <c r="U33" s="670">
        <f t="shared" si="11"/>
        <v>100</v>
      </c>
      <c r="V33" s="669" t="s">
        <v>14</v>
      </c>
      <c r="W33" s="670">
        <f t="shared" si="12"/>
        <v>100</v>
      </c>
      <c r="X33" s="671"/>
      <c r="Y33" s="3399"/>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399"/>
      <c r="Q34" s="1260" t="str">
        <f>B34</f>
        <v>宗地面积</v>
      </c>
      <c r="R34" s="667" t="s">
        <v>14</v>
      </c>
      <c r="S34" s="668" t="e">
        <f t="shared" si="10"/>
        <v>#N/A</v>
      </c>
      <c r="T34" s="667" t="s">
        <v>14</v>
      </c>
      <c r="U34" s="668" t="e">
        <f t="shared" si="11"/>
        <v>#N/A</v>
      </c>
      <c r="V34" s="667" t="s">
        <v>14</v>
      </c>
      <c r="W34" s="668" t="e">
        <f t="shared" si="12"/>
        <v>#N/A</v>
      </c>
      <c r="X34" s="1262"/>
      <c r="Y34" s="3399"/>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6"/>
      <c r="M35" s="2481"/>
      <c r="N35" s="2481"/>
      <c r="O35" s="2536"/>
      <c r="P35" s="3399"/>
      <c r="Q35" s="1260" t="str">
        <f t="shared" ref="Q35:Q40" si="14">B35</f>
        <v>宗地形状</v>
      </c>
      <c r="R35" s="667" t="s">
        <v>14</v>
      </c>
      <c r="S35" s="668">
        <f t="shared" si="10"/>
        <v>100</v>
      </c>
      <c r="T35" s="667" t="s">
        <v>14</v>
      </c>
      <c r="U35" s="668">
        <f t="shared" si="11"/>
        <v>100</v>
      </c>
      <c r="V35" s="667" t="s">
        <v>14</v>
      </c>
      <c r="W35" s="668">
        <f t="shared" si="12"/>
        <v>100</v>
      </c>
      <c r="X35" s="1262"/>
      <c r="Y35" s="3399"/>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2"/>
      <c r="M36" s="2434"/>
      <c r="N36" s="2434"/>
      <c r="O36" s="2534"/>
      <c r="P36" s="3399"/>
      <c r="Q36" s="1260"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6"/>
      <c r="M37" s="2481"/>
      <c r="N37" s="2481"/>
      <c r="O37" s="2536"/>
      <c r="P37" s="3399" t="s">
        <v>1696</v>
      </c>
      <c r="Q37" s="1260" t="str">
        <f t="shared" si="14"/>
        <v>工程地质条件</v>
      </c>
      <c r="R37" s="667" t="s">
        <v>14</v>
      </c>
      <c r="S37" s="668">
        <f t="shared" si="10"/>
        <v>100</v>
      </c>
      <c r="T37" s="667" t="s">
        <v>14</v>
      </c>
      <c r="U37" s="668">
        <f t="shared" si="11"/>
        <v>100</v>
      </c>
      <c r="V37" s="667" t="s">
        <v>14</v>
      </c>
      <c r="W37" s="668">
        <f t="shared" si="12"/>
        <v>100</v>
      </c>
      <c r="X37" s="1262"/>
      <c r="Y37" s="3399"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399"/>
      <c r="Q38" s="1260">
        <f t="shared" si="14"/>
        <v>111</v>
      </c>
      <c r="R38" s="667" t="s">
        <v>14</v>
      </c>
      <c r="S38" s="668">
        <f t="shared" si="10"/>
        <v>100</v>
      </c>
      <c r="T38" s="667" t="s">
        <v>14</v>
      </c>
      <c r="U38" s="668">
        <f t="shared" si="11"/>
        <v>100</v>
      </c>
      <c r="V38" s="667" t="s">
        <v>14</v>
      </c>
      <c r="W38" s="668">
        <f t="shared" si="12"/>
        <v>100</v>
      </c>
      <c r="X38" s="1262"/>
      <c r="Y38" s="3399"/>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399"/>
      <c r="Q39" s="1260">
        <f t="shared" si="14"/>
        <v>111</v>
      </c>
      <c r="R39" s="667" t="s">
        <v>14</v>
      </c>
      <c r="S39" s="668">
        <f t="shared" si="10"/>
        <v>100</v>
      </c>
      <c r="T39" s="667" t="s">
        <v>14</v>
      </c>
      <c r="U39" s="668">
        <f t="shared" si="11"/>
        <v>100</v>
      </c>
      <c r="V39" s="667" t="s">
        <v>14</v>
      </c>
      <c r="W39" s="668">
        <f t="shared" si="12"/>
        <v>100</v>
      </c>
      <c r="X39" s="1262"/>
      <c r="Y39" s="3399"/>
      <c r="Z39" s="1261">
        <f t="shared" si="13"/>
        <v>111</v>
      </c>
      <c r="AA39" s="1261">
        <f t="shared" si="3"/>
        <v>1</v>
      </c>
      <c r="AB39" s="1261">
        <f t="shared" si="4"/>
        <v>1</v>
      </c>
      <c r="AC39" s="1261">
        <f t="shared" si="5"/>
        <v>1</v>
      </c>
    </row>
    <row r="40" spans="1:31" s="408" customFormat="1" ht="15.75"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399"/>
      <c r="Q40" s="1260">
        <f t="shared" si="14"/>
        <v>111</v>
      </c>
      <c r="R40" s="669" t="s">
        <v>14</v>
      </c>
      <c r="S40" s="670">
        <f t="shared" si="10"/>
        <v>100</v>
      </c>
      <c r="T40" s="669" t="s">
        <v>14</v>
      </c>
      <c r="U40" s="670">
        <f t="shared" si="11"/>
        <v>100</v>
      </c>
      <c r="V40" s="669" t="s">
        <v>14</v>
      </c>
      <c r="W40" s="670">
        <f t="shared" si="12"/>
        <v>100</v>
      </c>
      <c r="X40" s="671"/>
      <c r="Y40" s="3399"/>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88"/>
      <c r="M41" s="2481"/>
      <c r="N41" s="2481"/>
      <c r="O41" s="2481"/>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88"/>
      <c r="M42" s="2481"/>
      <c r="N42" s="2481"/>
      <c r="O42" s="2481"/>
      <c r="P42" s="3387" t="str">
        <f>A42</f>
        <v>比较价值（元/平方米）</v>
      </c>
      <c r="Q42" s="3387"/>
      <c r="R42" s="3499" t="e">
        <f>ROUND(PRODUCT(R41,AA7:AA40),0)</f>
        <v>#DIV/0!</v>
      </c>
      <c r="S42" s="3499"/>
      <c r="T42" s="3499" t="e">
        <f>ROUND(PRODUCT(T41,AB7:AB40),0)</f>
        <v>#DIV/0!</v>
      </c>
      <c r="U42" s="3499"/>
      <c r="V42" s="3499" t="e">
        <f>ROUND(PRODUCT(V41,AC7:AC40),0)</f>
        <v>#DIV/0!</v>
      </c>
      <c r="W42" s="349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8"/>
      <c r="M43" s="2481"/>
      <c r="N43" s="2481"/>
      <c r="O43" s="2481"/>
      <c r="P43" s="3486" t="str">
        <f>A43</f>
        <v>估价对象XX用房的比较价值（楼面单价，元/平方米）</v>
      </c>
      <c r="Q43" s="3487"/>
      <c r="R43" s="3500" t="e">
        <f>ROUND(IF(D42="简单平均",AVERAGE(R42:W42),R42*F42+T42*H42+V42*J42),0)</f>
        <v>#DIV/0!</v>
      </c>
      <c r="S43" s="3500"/>
      <c r="T43" s="3500"/>
      <c r="U43" s="3500"/>
      <c r="V43" s="3500"/>
      <c r="W43" s="3500"/>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4" t="s">
        <v>1881</v>
      </c>
      <c r="B50" s="605" t="s">
        <v>1882</v>
      </c>
      <c r="C50" s="1828" t="s">
        <v>1883</v>
      </c>
      <c r="D50" s="1829" t="s">
        <v>1884</v>
      </c>
      <c r="E50" s="606" t="s">
        <v>1885</v>
      </c>
      <c r="F50" s="607" t="s">
        <v>1886</v>
      </c>
      <c r="G50" s="3404" t="s">
        <v>1887</v>
      </c>
      <c r="H50" s="3501"/>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87">
        <v>1</v>
      </c>
      <c r="E51" s="610">
        <f>'数据-汇总表'!E8+'数据-汇总表'!E9</f>
        <v>62894.500000000007</v>
      </c>
      <c r="F51" s="611" t="e">
        <f t="shared" ref="F51:F60" si="15">ROUND(B51*E51/10000,0)</f>
        <v>#DIV/0!</v>
      </c>
      <c r="G51" s="3386"/>
      <c r="H51" s="3387"/>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0.7</v>
      </c>
      <c r="D52" s="888">
        <v>0.25</v>
      </c>
      <c r="E52" s="614"/>
      <c r="F52" s="611" t="e">
        <f t="shared" si="15"/>
        <v>#DIV/0!</v>
      </c>
      <c r="G52" s="2744" t="s">
        <v>1892</v>
      </c>
      <c r="H52" s="831" t="str">
        <f>项目基本情况!B37</f>
        <v>二级</v>
      </c>
      <c r="I52" s="724">
        <f>SUMIF(修正!A57:A68,H52,修正!B57:B68)</f>
        <v>0.7</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0.4</v>
      </c>
      <c r="D53" s="888">
        <v>0.25</v>
      </c>
      <c r="E53" s="614"/>
      <c r="F53" s="611" t="e">
        <f t="shared" si="15"/>
        <v>#DIV/0!</v>
      </c>
      <c r="G53" s="2745"/>
      <c r="H53" s="831" t="str">
        <f>项目基本情况!B37</f>
        <v>二级</v>
      </c>
      <c r="I53" s="724">
        <f>SUMIF(修正!A57:A68,H53,修正!C57:C68)</f>
        <v>0.4</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0.3</v>
      </c>
      <c r="D54" s="888">
        <v>0.25</v>
      </c>
      <c r="E54" s="614"/>
      <c r="F54" s="611" t="e">
        <f t="shared" si="15"/>
        <v>#DIV/0!</v>
      </c>
      <c r="G54" s="2745"/>
      <c r="H54" s="831" t="str">
        <f>项目基本情况!B37</f>
        <v>二级</v>
      </c>
      <c r="I54" s="724">
        <f>SUMIF(修正!A57:A68,H54,修正!D57:D68)</f>
        <v>0.3</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8"/>
      <c r="E55" s="614"/>
      <c r="F55" s="611"/>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二级</v>
      </c>
      <c r="I56" s="724">
        <f>SUMIF(修正!A57:A68,H56,修正!E57:E68)</f>
        <v>0.3</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二级</v>
      </c>
      <c r="I57" s="724">
        <f>SUMIF(修正!A57:A68,H57,修正!F57:F68)</f>
        <v>0.3</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8">
        <v>0.25</v>
      </c>
      <c r="E58" s="209">
        <f>'数据-汇总表'!E13</f>
        <v>14601.09</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0.2</v>
      </c>
      <c r="D59" s="888">
        <v>0.25</v>
      </c>
      <c r="E59" s="209">
        <f>'数据-汇总表'!E14</f>
        <v>0</v>
      </c>
      <c r="F59" s="611" t="e">
        <f t="shared" si="15"/>
        <v>#DIV/0!</v>
      </c>
      <c r="G59" s="1832" t="s">
        <v>1892</v>
      </c>
      <c r="H59" s="831" t="str">
        <f>项目基本情况!B37</f>
        <v>二级</v>
      </c>
      <c r="I59" s="724">
        <f>SUMIF(修正!A57:A68,H59,修正!G57:G68)</f>
        <v>0.2</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5" thickBot="1">
      <c r="A60" s="613" t="s">
        <v>1902</v>
      </c>
      <c r="B60" s="210" t="e">
        <f t="shared" si="17"/>
        <v>#DIV/0!</v>
      </c>
      <c r="C60" s="163">
        <f t="shared" si="16"/>
        <v>0.2</v>
      </c>
      <c r="D60" s="888">
        <v>0.25</v>
      </c>
      <c r="E60" s="209">
        <f>'数据-汇总表'!E15</f>
        <v>0</v>
      </c>
      <c r="F60" s="611" t="e">
        <f t="shared" si="15"/>
        <v>#DIV/0!</v>
      </c>
      <c r="G60" s="1833" t="s">
        <v>1896</v>
      </c>
      <c r="H60" s="841" t="str">
        <f>项目基本情况!C37</f>
        <v>二级</v>
      </c>
      <c r="I60" s="724">
        <f>SUMIF(修正!A57:A68,H60,修正!G57:G68)</f>
        <v>0.2</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5" thickBot="1">
      <c r="A61" s="615" t="s">
        <v>1903</v>
      </c>
      <c r="B61" s="616" t="s">
        <v>22</v>
      </c>
      <c r="C61" s="616" t="s">
        <v>23</v>
      </c>
      <c r="D61" s="616" t="s">
        <v>392</v>
      </c>
      <c r="E61" s="616">
        <f>IF(B41="楼面地价",SUM(E51:E60),'数据-汇总表'!D3)</f>
        <v>10591.91</v>
      </c>
      <c r="F61" s="617"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8" t="s">
        <v>1798</v>
      </c>
      <c r="B64" s="385"/>
      <c r="C64" s="659"/>
      <c r="D64" s="659"/>
      <c r="E64" s="659"/>
      <c r="F64" s="660"/>
      <c r="G64" s="660"/>
      <c r="H64" s="659"/>
      <c r="I64" s="659"/>
      <c r="J64" s="659"/>
      <c r="K64" s="661"/>
      <c r="L64" s="662"/>
      <c r="M64" s="659"/>
      <c r="N64" s="659"/>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2" customFormat="1" ht="15.75" thickBot="1">
      <c r="A67" s="449" t="s">
        <v>1716</v>
      </c>
      <c r="B67" s="450"/>
      <c r="C67" s="451"/>
      <c r="D67" s="452"/>
      <c r="E67" s="452"/>
      <c r="F67" s="452"/>
      <c r="G67" s="452"/>
      <c r="H67" s="452"/>
      <c r="I67" s="452"/>
      <c r="J67" s="452"/>
      <c r="K67" s="452"/>
      <c r="L67" s="452"/>
      <c r="M67" s="453"/>
      <c r="N67" s="453"/>
      <c r="O67" s="454"/>
      <c r="P67" s="2502"/>
      <c r="Q67" s="2502"/>
      <c r="R67" s="2434"/>
      <c r="S67" s="2434"/>
      <c r="T67" s="2434"/>
      <c r="U67" s="2434"/>
      <c r="V67" s="2434"/>
      <c r="W67" s="2434"/>
      <c r="X67" s="2434"/>
      <c r="Y67" s="2434"/>
      <c r="Z67" s="2434"/>
      <c r="AA67" s="2434"/>
      <c r="AB67" s="2434"/>
      <c r="AC67" s="2434"/>
      <c r="AD67" s="2434"/>
      <c r="AE67" s="2434"/>
    </row>
    <row r="68" spans="1:31" s="102" customFormat="1" ht="15">
      <c r="A68" s="455" t="s">
        <v>1681</v>
      </c>
      <c r="B68" s="444"/>
      <c r="C68" s="456" t="s">
        <v>1776</v>
      </c>
      <c r="D68" s="31"/>
      <c r="E68" s="31"/>
      <c r="F68" s="31"/>
      <c r="G68" s="31"/>
      <c r="H68" s="31"/>
      <c r="I68" s="31"/>
      <c r="J68" s="31"/>
      <c r="K68" s="31"/>
      <c r="L68" s="457"/>
      <c r="M68" s="458"/>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5.75" thickBot="1">
      <c r="A69" s="455"/>
      <c r="B69" s="444"/>
      <c r="C69" s="563">
        <v>100</v>
      </c>
      <c r="D69" s="446"/>
      <c r="E69" s="446"/>
      <c r="F69" s="446"/>
      <c r="G69" s="446"/>
      <c r="H69" s="446"/>
      <c r="I69" s="446"/>
      <c r="J69" s="446"/>
      <c r="K69" s="446"/>
      <c r="L69" s="446"/>
      <c r="M69" s="448"/>
      <c r="N69" s="2514"/>
      <c r="O69" s="2514"/>
      <c r="P69" s="2502"/>
      <c r="Q69" s="2502"/>
      <c r="R69" s="2434"/>
      <c r="S69" s="2434"/>
      <c r="T69" s="2434"/>
      <c r="U69" s="2434"/>
      <c r="V69" s="2434"/>
      <c r="W69" s="2434"/>
      <c r="X69" s="2434"/>
      <c r="Y69" s="2434"/>
      <c r="Z69" s="2434"/>
      <c r="AA69" s="2434"/>
      <c r="AB69" s="2434"/>
      <c r="AC69" s="2434"/>
      <c r="AD69" s="2434"/>
      <c r="AE69" s="2434"/>
    </row>
    <row r="70" spans="1:31">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4"/>
      <c r="S90" s="2434"/>
      <c r="T90" s="2434"/>
      <c r="U90" s="2434"/>
      <c r="V90" s="2434"/>
      <c r="W90" s="2434"/>
      <c r="X90" s="2434"/>
      <c r="Y90" s="2434"/>
      <c r="Z90" s="2434"/>
      <c r="AA90" s="2434"/>
      <c r="AB90" s="2434"/>
      <c r="AC90" s="2434"/>
      <c r="AD90" s="2434"/>
      <c r="AE90" s="2434"/>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88"/>
      <c r="B4" s="3205" t="s">
        <v>917</v>
      </c>
      <c r="C4" s="3205"/>
      <c r="D4" s="3205"/>
      <c r="E4" s="1388"/>
    </row>
    <row r="5" spans="1:5" ht="16.5" thickTop="1">
      <c r="B5" s="3203" t="s">
        <v>909</v>
      </c>
      <c r="C5" s="1389" t="s">
        <v>910</v>
      </c>
      <c r="D5" s="794" t="e">
        <f ca="1">结果表!H101</f>
        <v>#REF!</v>
      </c>
    </row>
    <row r="6" spans="1:5" ht="15.75">
      <c r="B6" s="3203"/>
      <c r="C6" s="1389" t="s">
        <v>911</v>
      </c>
      <c r="D6" s="794" t="e">
        <f ca="1">NUMBERSTRING(INT(D5*10000),2)&amp;"元整"</f>
        <v>#REF!</v>
      </c>
    </row>
    <row r="7" spans="1:5" ht="15.75">
      <c r="B7" s="3208"/>
      <c r="C7" s="1390" t="s">
        <v>912</v>
      </c>
      <c r="D7" s="795" t="e">
        <f ca="1">结果表!H102</f>
        <v>#REF!</v>
      </c>
    </row>
    <row r="8" spans="1:5" ht="15.75">
      <c r="B8" s="3209" t="str">
        <f>结果表!E103</f>
        <v>2.估价师知悉的法定优先受偿款</v>
      </c>
      <c r="C8" s="1391" t="s">
        <v>913</v>
      </c>
      <c r="D8" s="795">
        <f>结果表!H103</f>
        <v>0</v>
      </c>
    </row>
    <row r="9" spans="1:5" ht="15.75">
      <c r="B9" s="3211"/>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02" t="str">
        <f>结果表!E107</f>
        <v>3.房地产抵押价值</v>
      </c>
      <c r="C13" s="1394" t="s">
        <v>910</v>
      </c>
      <c r="D13" s="797" t="e">
        <f ca="1">结果表!H107</f>
        <v>#REF!</v>
      </c>
    </row>
    <row r="14" spans="1:5" ht="15.75">
      <c r="B14" s="3203"/>
      <c r="C14" s="1389" t="s">
        <v>911</v>
      </c>
      <c r="D14" s="794" t="e">
        <f ca="1">NUMBERSTRING(INT(D13*10000),2)&amp;"元整"</f>
        <v>#REF!</v>
      </c>
    </row>
    <row r="15" spans="1:5" ht="15">
      <c r="B15" s="3208"/>
      <c r="C15" s="1390" t="s">
        <v>921</v>
      </c>
      <c r="D15" s="803" t="e">
        <f ca="1">结果表!H108</f>
        <v>#REF!</v>
      </c>
    </row>
    <row r="16" spans="1:5" ht="15">
      <c r="B16" s="3209" t="str">
        <f>结果表!E109</f>
        <v>——</v>
      </c>
      <c r="C16" s="1394" t="s">
        <v>922</v>
      </c>
      <c r="D16" s="1395" t="str">
        <f>结果表!H109</f>
        <v>——</v>
      </c>
    </row>
    <row r="17" spans="1:5" ht="15.75">
      <c r="B17" s="3210"/>
      <c r="C17" s="1389" t="s">
        <v>923</v>
      </c>
      <c r="D17" s="794" t="e">
        <f>NUMBERSTRING(INT(D16*10000),2)&amp;"元整"</f>
        <v>#VALUE!</v>
      </c>
    </row>
    <row r="18" spans="1:5" ht="15">
      <c r="B18" s="3211"/>
      <c r="C18" s="1390" t="s">
        <v>912</v>
      </c>
      <c r="D18" s="803" t="str">
        <f>结果表!H110</f>
        <v>——</v>
      </c>
    </row>
    <row r="19" spans="1:5" ht="15.75">
      <c r="B19" s="3202" t="str">
        <f>结果表!E111</f>
        <v>——</v>
      </c>
      <c r="C19" s="1394" t="s">
        <v>910</v>
      </c>
      <c r="D19" s="795" t="str">
        <f>结果表!H111</f>
        <v>——</v>
      </c>
    </row>
    <row r="20" spans="1:5" ht="15.75">
      <c r="B20" s="3203"/>
      <c r="C20" s="1389" t="s">
        <v>923</v>
      </c>
      <c r="D20" s="794" t="e">
        <f>NUMBERSTRING(INT(D19*10000),2)&amp;"元整"</f>
        <v>#VALUE!</v>
      </c>
    </row>
    <row r="21" spans="1:5" ht="15.75" thickBot="1">
      <c r="B21" s="3204"/>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09" t="s">
        <v>2084</v>
      </c>
      <c r="D1" s="3510"/>
      <c r="E1" s="3510"/>
      <c r="F1" s="3510"/>
      <c r="G1" s="3510"/>
      <c r="H1" s="3510"/>
      <c r="I1" s="3510"/>
      <c r="J1" s="3510"/>
      <c r="K1" s="3510"/>
      <c r="L1" s="3510"/>
      <c r="M1" s="3510"/>
      <c r="N1" s="3510"/>
      <c r="O1" s="3510"/>
      <c r="P1" s="3510"/>
      <c r="Q1" s="3510"/>
      <c r="R1" s="3510"/>
      <c r="S1" s="3511"/>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6" t="s">
        <v>27</v>
      </c>
      <c r="D22" s="3507"/>
      <c r="E22" s="3507"/>
      <c r="F22" s="3507"/>
      <c r="G22" s="3507"/>
      <c r="H22" s="3507"/>
      <c r="I22" s="3507"/>
      <c r="J22" s="3507"/>
      <c r="K22" s="3507"/>
      <c r="L22" s="3507"/>
      <c r="M22" s="3507"/>
      <c r="N22" s="3507"/>
      <c r="O22" s="3507"/>
      <c r="P22" s="3507"/>
      <c r="Q22" s="350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21" t="s">
        <v>2605</v>
      </c>
      <c r="B20" s="3516" t="s">
        <v>2626</v>
      </c>
      <c r="C20" s="2836" t="s">
        <v>2437</v>
      </c>
      <c r="D20" s="2837"/>
      <c r="E20" s="2838">
        <v>1</v>
      </c>
      <c r="F20" s="2839" t="s">
        <v>2438</v>
      </c>
      <c r="G20" s="2839"/>
    </row>
    <row r="21" spans="1:13" ht="19.5" customHeight="1">
      <c r="A21" s="3522"/>
      <c r="B21" s="3515"/>
      <c r="C21" s="2840" t="s">
        <v>2439</v>
      </c>
      <c r="D21" s="2841"/>
      <c r="E21" s="2842">
        <v>1</v>
      </c>
      <c r="F21" s="2839" t="s">
        <v>2440</v>
      </c>
      <c r="G21" s="2839"/>
    </row>
    <row r="22" spans="1:13" ht="19.5" customHeight="1">
      <c r="A22" s="3522"/>
      <c r="B22" s="3515"/>
      <c r="C22" s="2840" t="s">
        <v>2441</v>
      </c>
      <c r="D22" s="2841"/>
      <c r="E22" s="2842">
        <v>0.9</v>
      </c>
      <c r="F22" s="2839" t="s">
        <v>2442</v>
      </c>
      <c r="G22" s="2839"/>
    </row>
    <row r="23" spans="1:13" ht="19.5" customHeight="1">
      <c r="A23" s="3522"/>
      <c r="B23" s="3515"/>
      <c r="C23" s="2840" t="s">
        <v>2443</v>
      </c>
      <c r="D23" s="2841"/>
      <c r="E23" s="2842">
        <v>0.9</v>
      </c>
      <c r="F23" s="2839" t="s">
        <v>2444</v>
      </c>
      <c r="G23" s="2839"/>
    </row>
    <row r="24" spans="1:13" ht="19.5" customHeight="1">
      <c r="A24" s="3522"/>
      <c r="B24" s="3515"/>
      <c r="C24" s="2840" t="s">
        <v>2445</v>
      </c>
      <c r="D24" s="2841"/>
      <c r="E24" s="2842">
        <v>0.8</v>
      </c>
      <c r="F24" s="2839" t="s">
        <v>2446</v>
      </c>
      <c r="G24" s="2839"/>
    </row>
    <row r="25" spans="1:13" ht="19.5" customHeight="1" thickBot="1">
      <c r="A25" s="3523"/>
      <c r="B25" s="3517"/>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18" t="s">
        <v>2629</v>
      </c>
      <c r="B27" s="3516" t="s">
        <v>2610</v>
      </c>
      <c r="C27" s="2836" t="s">
        <v>2450</v>
      </c>
      <c r="D27" s="2837"/>
      <c r="E27" s="2838">
        <v>1</v>
      </c>
      <c r="F27" s="2839" t="s">
        <v>2451</v>
      </c>
      <c r="G27" s="2839"/>
    </row>
    <row r="28" spans="1:13" ht="19.5" customHeight="1">
      <c r="A28" s="3519"/>
      <c r="B28" s="3515"/>
      <c r="C28" s="2840" t="s">
        <v>2452</v>
      </c>
      <c r="D28" s="2841"/>
      <c r="E28" s="2842">
        <v>1</v>
      </c>
      <c r="F28" s="2839" t="s">
        <v>2453</v>
      </c>
      <c r="G28" s="2839"/>
    </row>
    <row r="29" spans="1:13" ht="19.5" customHeight="1">
      <c r="A29" s="3519"/>
      <c r="B29" s="3515"/>
      <c r="C29" s="2840" t="s">
        <v>2454</v>
      </c>
      <c r="D29" s="2841"/>
      <c r="E29" s="2842">
        <v>0.8</v>
      </c>
      <c r="F29" s="2839" t="s">
        <v>2455</v>
      </c>
      <c r="G29" s="2839"/>
    </row>
    <row r="30" spans="1:13" ht="19.5" customHeight="1">
      <c r="A30" s="3519"/>
      <c r="B30" s="3515"/>
      <c r="C30" s="2840" t="s">
        <v>2456</v>
      </c>
      <c r="D30" s="2841"/>
      <c r="E30" s="2842">
        <v>0.8</v>
      </c>
      <c r="F30" s="2839" t="s">
        <v>2457</v>
      </c>
      <c r="G30" s="2839"/>
    </row>
    <row r="31" spans="1:13" ht="19.5" customHeight="1">
      <c r="A31" s="3519"/>
      <c r="B31" s="3515"/>
      <c r="C31" s="2840" t="s">
        <v>2458</v>
      </c>
      <c r="D31" s="2841"/>
      <c r="E31" s="2842">
        <v>0.8</v>
      </c>
      <c r="F31" s="2839" t="s">
        <v>2459</v>
      </c>
      <c r="G31" s="2839"/>
    </row>
    <row r="32" spans="1:13" ht="19.5" customHeight="1">
      <c r="A32" s="3519"/>
      <c r="B32" s="3515"/>
      <c r="C32" s="2840" t="s">
        <v>2460</v>
      </c>
      <c r="D32" s="2841"/>
      <c r="E32" s="2842">
        <v>0.7</v>
      </c>
      <c r="F32" s="2839" t="s">
        <v>2461</v>
      </c>
      <c r="G32" s="2839"/>
    </row>
    <row r="33" spans="1:7" ht="19.5" customHeight="1">
      <c r="A33" s="3519"/>
      <c r="B33" s="3515"/>
      <c r="C33" s="2840" t="s">
        <v>2462</v>
      </c>
      <c r="D33" s="2841"/>
      <c r="E33" s="2842">
        <v>0.8</v>
      </c>
      <c r="F33" s="2839" t="s">
        <v>2463</v>
      </c>
      <c r="G33" s="2839"/>
    </row>
    <row r="34" spans="1:7" ht="19.5" customHeight="1">
      <c r="A34" s="3519"/>
      <c r="B34" s="3515"/>
      <c r="C34" s="2840" t="s">
        <v>2464</v>
      </c>
      <c r="D34" s="2841"/>
      <c r="E34" s="2842">
        <v>0.6</v>
      </c>
      <c r="F34" s="2839" t="s">
        <v>2465</v>
      </c>
      <c r="G34" s="2839"/>
    </row>
    <row r="35" spans="1:7" ht="19.5" customHeight="1">
      <c r="A35" s="3519"/>
      <c r="B35" s="3515"/>
      <c r="C35" s="2840" t="s">
        <v>2466</v>
      </c>
      <c r="D35" s="2841"/>
      <c r="E35" s="2842">
        <v>0.2</v>
      </c>
      <c r="F35" s="2839" t="s">
        <v>2467</v>
      </c>
      <c r="G35" s="2839"/>
    </row>
    <row r="36" spans="1:7" ht="19.5" customHeight="1">
      <c r="A36" s="3519"/>
      <c r="B36" s="3515"/>
      <c r="C36" s="2840" t="s">
        <v>2468</v>
      </c>
      <c r="D36" s="2841"/>
      <c r="E36" s="2842">
        <v>0.2</v>
      </c>
      <c r="F36" s="2839" t="s">
        <v>2469</v>
      </c>
      <c r="G36" s="2839"/>
    </row>
    <row r="37" spans="1:7" ht="19.5" customHeight="1">
      <c r="A37" s="3519"/>
      <c r="B37" s="3513" t="s">
        <v>2630</v>
      </c>
      <c r="C37" s="2840" t="s">
        <v>2470</v>
      </c>
      <c r="D37" s="2841"/>
      <c r="E37" s="2842">
        <v>0.6</v>
      </c>
      <c r="F37" s="2839" t="s">
        <v>2471</v>
      </c>
      <c r="G37" s="2839"/>
    </row>
    <row r="38" spans="1:7" ht="19.5" customHeight="1">
      <c r="A38" s="3519"/>
      <c r="B38" s="3515"/>
      <c r="C38" s="2840" t="s">
        <v>2472</v>
      </c>
      <c r="D38" s="2841"/>
      <c r="E38" s="2842">
        <v>0.6</v>
      </c>
      <c r="F38" s="2839" t="s">
        <v>2473</v>
      </c>
      <c r="G38" s="2839"/>
    </row>
    <row r="39" spans="1:7" ht="19.5" customHeight="1" thickBot="1">
      <c r="A39" s="3520"/>
      <c r="B39" s="3517"/>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21" t="s">
        <v>2608</v>
      </c>
      <c r="B41" s="3516" t="s">
        <v>2632</v>
      </c>
      <c r="C41" s="2836" t="s">
        <v>2477</v>
      </c>
      <c r="D41" s="2837"/>
      <c r="E41" s="2838">
        <v>1</v>
      </c>
      <c r="F41" s="2839" t="s">
        <v>2478</v>
      </c>
      <c r="G41" s="2839"/>
    </row>
    <row r="42" spans="1:7" ht="19.5" customHeight="1">
      <c r="A42" s="3522"/>
      <c r="B42" s="3515"/>
      <c r="C42" s="2840" t="s">
        <v>2479</v>
      </c>
      <c r="D42" s="2841"/>
      <c r="E42" s="2842">
        <v>1</v>
      </c>
      <c r="F42" s="2839" t="s">
        <v>2480</v>
      </c>
      <c r="G42" s="2839"/>
    </row>
    <row r="43" spans="1:7" ht="19.5" customHeight="1">
      <c r="A43" s="3522"/>
      <c r="B43" s="3514"/>
      <c r="C43" s="2840" t="s">
        <v>2481</v>
      </c>
      <c r="D43" s="2841"/>
      <c r="E43" s="2842">
        <v>1.5</v>
      </c>
      <c r="F43" s="2839" t="s">
        <v>2482</v>
      </c>
      <c r="G43" s="2839"/>
    </row>
    <row r="44" spans="1:7" ht="19.5" customHeight="1">
      <c r="A44" s="3522"/>
      <c r="B44" s="2851" t="s">
        <v>2633</v>
      </c>
      <c r="C44" s="2840" t="s">
        <v>2634</v>
      </c>
      <c r="D44" s="2841"/>
      <c r="E44" s="2842">
        <v>2</v>
      </c>
      <c r="F44" s="2839" t="s">
        <v>2483</v>
      </c>
      <c r="G44" s="2839"/>
    </row>
    <row r="45" spans="1:7" ht="19.5" customHeight="1">
      <c r="A45" s="3522"/>
      <c r="B45" s="3513" t="s">
        <v>2635</v>
      </c>
      <c r="C45" s="2840" t="s">
        <v>2484</v>
      </c>
      <c r="D45" s="2841"/>
      <c r="E45" s="2842">
        <v>1</v>
      </c>
      <c r="F45" s="2839" t="s">
        <v>2485</v>
      </c>
      <c r="G45" s="2839"/>
    </row>
    <row r="46" spans="1:7" ht="19.5" customHeight="1">
      <c r="A46" s="3522"/>
      <c r="B46" s="3515"/>
      <c r="C46" s="2840" t="s">
        <v>2486</v>
      </c>
      <c r="D46" s="2841"/>
      <c r="E46" s="2842">
        <v>1</v>
      </c>
      <c r="F46" s="2839" t="s">
        <v>2487</v>
      </c>
      <c r="G46" s="2839"/>
    </row>
    <row r="47" spans="1:7" ht="19.5" customHeight="1">
      <c r="A47" s="3522"/>
      <c r="B47" s="3515"/>
      <c r="C47" s="2840" t="s">
        <v>2488</v>
      </c>
      <c r="D47" s="2841"/>
      <c r="E47" s="2842">
        <v>1</v>
      </c>
      <c r="F47" s="2839" t="s">
        <v>2489</v>
      </c>
      <c r="G47" s="2839"/>
    </row>
    <row r="48" spans="1:7" ht="19.5" customHeight="1">
      <c r="A48" s="3522"/>
      <c r="B48" s="3515"/>
      <c r="C48" s="2840" t="s">
        <v>2490</v>
      </c>
      <c r="D48" s="2841"/>
      <c r="E48" s="2842">
        <v>1</v>
      </c>
      <c r="F48" s="2839" t="s">
        <v>2491</v>
      </c>
      <c r="G48" s="2839"/>
    </row>
    <row r="49" spans="1:7" ht="19.5" customHeight="1">
      <c r="A49" s="3522"/>
      <c r="B49" s="3515"/>
      <c r="C49" s="2840" t="s">
        <v>2492</v>
      </c>
      <c r="D49" s="2841"/>
      <c r="E49" s="2842">
        <v>1</v>
      </c>
      <c r="F49" s="2839" t="s">
        <v>2493</v>
      </c>
      <c r="G49" s="2839"/>
    </row>
    <row r="50" spans="1:7" ht="19.5" customHeight="1">
      <c r="A50" s="3522"/>
      <c r="B50" s="3515"/>
      <c r="C50" s="2840" t="s">
        <v>2494</v>
      </c>
      <c r="D50" s="2841"/>
      <c r="E50" s="2842">
        <v>1</v>
      </c>
      <c r="F50" s="2839" t="s">
        <v>2495</v>
      </c>
      <c r="G50" s="2839"/>
    </row>
    <row r="51" spans="1:7" ht="19.5" customHeight="1" thickBot="1">
      <c r="A51" s="3523"/>
      <c r="B51" s="3517"/>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13" t="s">
        <v>2649</v>
      </c>
      <c r="C73" s="2825" t="s">
        <v>2650</v>
      </c>
      <c r="D73" s="2825" t="s">
        <v>2651</v>
      </c>
      <c r="E73" s="2851">
        <v>0.2</v>
      </c>
      <c r="F73" s="2851">
        <v>25</v>
      </c>
    </row>
    <row r="74" spans="1:7" ht="24">
      <c r="A74" s="2851">
        <v>2</v>
      </c>
      <c r="B74" s="3515"/>
      <c r="C74" s="2825" t="s">
        <v>2652</v>
      </c>
      <c r="D74" s="2825" t="s">
        <v>2653</v>
      </c>
      <c r="E74" s="2851">
        <v>0.2</v>
      </c>
      <c r="F74" s="2851">
        <v>25</v>
      </c>
    </row>
    <row r="75" spans="1:7" ht="24">
      <c r="A75" s="2851">
        <v>3</v>
      </c>
      <c r="B75" s="3515"/>
      <c r="C75" s="2825" t="s">
        <v>2654</v>
      </c>
      <c r="D75" s="2825" t="s">
        <v>2655</v>
      </c>
      <c r="E75" s="2851">
        <v>0.2</v>
      </c>
      <c r="F75" s="2851">
        <v>25</v>
      </c>
    </row>
    <row r="76" spans="1:7" ht="13.5">
      <c r="A76" s="2851">
        <v>4</v>
      </c>
      <c r="B76" s="3515"/>
      <c r="C76" s="2825" t="s">
        <v>2656</v>
      </c>
      <c r="D76" s="2825" t="s">
        <v>2657</v>
      </c>
      <c r="E76" s="2851">
        <v>0.15</v>
      </c>
      <c r="F76" s="2851">
        <v>20</v>
      </c>
    </row>
    <row r="77" spans="1:7" ht="24">
      <c r="A77" s="2851">
        <v>5</v>
      </c>
      <c r="B77" s="3515"/>
      <c r="C77" s="2825" t="s">
        <v>2658</v>
      </c>
      <c r="D77" s="2825" t="s">
        <v>2659</v>
      </c>
      <c r="E77" s="2851">
        <v>0.15</v>
      </c>
      <c r="F77" s="2851">
        <v>20</v>
      </c>
    </row>
    <row r="78" spans="1:7" ht="24">
      <c r="A78" s="2851">
        <v>6</v>
      </c>
      <c r="B78" s="3515"/>
      <c r="C78" s="2825" t="s">
        <v>2660</v>
      </c>
      <c r="D78" s="2825" t="s">
        <v>2661</v>
      </c>
      <c r="E78" s="2851">
        <v>0.15</v>
      </c>
      <c r="F78" s="2851">
        <v>20</v>
      </c>
    </row>
    <row r="79" spans="1:7" ht="24">
      <c r="A79" s="2851">
        <v>7</v>
      </c>
      <c r="B79" s="3515"/>
      <c r="C79" s="2825" t="s">
        <v>2662</v>
      </c>
      <c r="D79" s="2825" t="s">
        <v>2663</v>
      </c>
      <c r="E79" s="2851">
        <v>0.15</v>
      </c>
      <c r="F79" s="2851">
        <v>20</v>
      </c>
    </row>
    <row r="80" spans="1:7" ht="24">
      <c r="A80" s="2851">
        <v>8</v>
      </c>
      <c r="B80" s="3515"/>
      <c r="C80" s="2825" t="s">
        <v>2664</v>
      </c>
      <c r="D80" s="2825" t="s">
        <v>2665</v>
      </c>
      <c r="E80" s="2851">
        <v>0.1</v>
      </c>
      <c r="F80" s="2851">
        <v>15</v>
      </c>
    </row>
    <row r="81" spans="1:6" ht="24">
      <c r="A81" s="2851">
        <v>9</v>
      </c>
      <c r="B81" s="3515"/>
      <c r="C81" s="2825" t="s">
        <v>2666</v>
      </c>
      <c r="D81" s="2825" t="s">
        <v>2667</v>
      </c>
      <c r="E81" s="2851">
        <v>0.1</v>
      </c>
      <c r="F81" s="2851">
        <v>15</v>
      </c>
    </row>
    <row r="82" spans="1:6" ht="24">
      <c r="A82" s="2851">
        <v>10</v>
      </c>
      <c r="B82" s="3515"/>
      <c r="C82" s="2825" t="s">
        <v>2668</v>
      </c>
      <c r="D82" s="2825" t="s">
        <v>2669</v>
      </c>
      <c r="E82" s="2851">
        <v>0.1</v>
      </c>
      <c r="F82" s="2851">
        <v>15</v>
      </c>
    </row>
    <row r="83" spans="1:6" ht="24">
      <c r="A83" s="2851">
        <v>11</v>
      </c>
      <c r="B83" s="3515"/>
      <c r="C83" s="2825" t="s">
        <v>2670</v>
      </c>
      <c r="D83" s="2825" t="s">
        <v>2671</v>
      </c>
      <c r="E83" s="2851">
        <v>0.1</v>
      </c>
      <c r="F83" s="2851">
        <v>15</v>
      </c>
    </row>
    <row r="84" spans="1:6" ht="24">
      <c r="A84" s="2851">
        <v>12</v>
      </c>
      <c r="B84" s="3515"/>
      <c r="C84" s="2825" t="s">
        <v>2672</v>
      </c>
      <c r="D84" s="2825" t="s">
        <v>2673</v>
      </c>
      <c r="E84" s="2851">
        <v>0.1</v>
      </c>
      <c r="F84" s="2851">
        <v>15</v>
      </c>
    </row>
    <row r="85" spans="1:6" ht="13.5">
      <c r="A85" s="2851">
        <v>13</v>
      </c>
      <c r="B85" s="3515"/>
      <c r="C85" s="2825" t="s">
        <v>2674</v>
      </c>
      <c r="D85" s="2825" t="s">
        <v>2675</v>
      </c>
      <c r="E85" s="2851">
        <v>0.1</v>
      </c>
      <c r="F85" s="2851">
        <v>15</v>
      </c>
    </row>
    <row r="86" spans="1:6" ht="13.5">
      <c r="A86" s="2851">
        <v>14</v>
      </c>
      <c r="B86" s="3515"/>
      <c r="C86" s="2825" t="s">
        <v>2676</v>
      </c>
      <c r="D86" s="2825" t="s">
        <v>2677</v>
      </c>
      <c r="E86" s="2851">
        <v>0.1</v>
      </c>
      <c r="F86" s="2851">
        <v>15</v>
      </c>
    </row>
    <row r="87" spans="1:6" ht="13.5">
      <c r="A87" s="2851">
        <v>15</v>
      </c>
      <c r="B87" s="3515"/>
      <c r="C87" s="2825" t="s">
        <v>2678</v>
      </c>
      <c r="D87" s="2825" t="s">
        <v>2679</v>
      </c>
      <c r="E87" s="2851">
        <v>0.1</v>
      </c>
      <c r="F87" s="2851">
        <v>15</v>
      </c>
    </row>
    <row r="88" spans="1:6" ht="24">
      <c r="A88" s="2851">
        <v>16</v>
      </c>
      <c r="B88" s="3515"/>
      <c r="C88" s="2825" t="s">
        <v>2680</v>
      </c>
      <c r="D88" s="2825" t="s">
        <v>2681</v>
      </c>
      <c r="E88" s="2851">
        <v>0.1</v>
      </c>
      <c r="F88" s="2851">
        <v>15</v>
      </c>
    </row>
    <row r="89" spans="1:6" ht="24">
      <c r="A89" s="2851">
        <v>17</v>
      </c>
      <c r="B89" s="3514"/>
      <c r="C89" s="2825" t="s">
        <v>2682</v>
      </c>
      <c r="D89" s="2825" t="s">
        <v>2683</v>
      </c>
      <c r="E89" s="2851">
        <v>0.1</v>
      </c>
      <c r="F89" s="2851">
        <v>15</v>
      </c>
    </row>
    <row r="90" spans="1:6" ht="13.5">
      <c r="A90" s="2851">
        <v>18</v>
      </c>
      <c r="B90" s="3513" t="s">
        <v>2684</v>
      </c>
      <c r="C90" s="2825" t="s">
        <v>2685</v>
      </c>
      <c r="D90" s="2825" t="s">
        <v>2686</v>
      </c>
      <c r="E90" s="2851">
        <v>0.2</v>
      </c>
      <c r="F90" s="2851">
        <v>25</v>
      </c>
    </row>
    <row r="91" spans="1:6" ht="24">
      <c r="A91" s="2851">
        <v>19</v>
      </c>
      <c r="B91" s="3515"/>
      <c r="C91" s="2825" t="s">
        <v>2687</v>
      </c>
      <c r="D91" s="2825" t="s">
        <v>2688</v>
      </c>
      <c r="E91" s="2851">
        <v>0.2</v>
      </c>
      <c r="F91" s="2851">
        <v>25</v>
      </c>
    </row>
    <row r="92" spans="1:6" ht="13.5">
      <c r="A92" s="2851">
        <v>20</v>
      </c>
      <c r="B92" s="3515"/>
      <c r="C92" s="2825" t="s">
        <v>2689</v>
      </c>
      <c r="D92" s="2825" t="s">
        <v>2690</v>
      </c>
      <c r="E92" s="2851">
        <v>0.15</v>
      </c>
      <c r="F92" s="2851">
        <v>20</v>
      </c>
    </row>
    <row r="93" spans="1:6" ht="13.5">
      <c r="A93" s="2851">
        <v>21</v>
      </c>
      <c r="B93" s="3515"/>
      <c r="C93" s="2825" t="s">
        <v>2691</v>
      </c>
      <c r="D93" s="2825" t="s">
        <v>2692</v>
      </c>
      <c r="E93" s="2851">
        <v>0.15</v>
      </c>
      <c r="F93" s="2851">
        <v>20</v>
      </c>
    </row>
    <row r="94" spans="1:6" ht="13.5">
      <c r="A94" s="2851">
        <v>22</v>
      </c>
      <c r="B94" s="3515"/>
      <c r="C94" s="2825" t="s">
        <v>2693</v>
      </c>
      <c r="D94" s="2825" t="s">
        <v>2694</v>
      </c>
      <c r="E94" s="2851">
        <v>0.15</v>
      </c>
      <c r="F94" s="2851">
        <v>20</v>
      </c>
    </row>
    <row r="95" spans="1:6" ht="36">
      <c r="A95" s="2851">
        <v>23</v>
      </c>
      <c r="B95" s="3515"/>
      <c r="C95" s="2825" t="s">
        <v>2695</v>
      </c>
      <c r="D95" s="2825" t="s">
        <v>2696</v>
      </c>
      <c r="E95" s="2851">
        <v>0.15</v>
      </c>
      <c r="F95" s="2851">
        <v>20</v>
      </c>
    </row>
    <row r="96" spans="1:6" ht="13.5">
      <c r="A96" s="2851">
        <v>24</v>
      </c>
      <c r="B96" s="3515"/>
      <c r="C96" s="2825" t="s">
        <v>2697</v>
      </c>
      <c r="D96" s="2825" t="s">
        <v>2698</v>
      </c>
      <c r="E96" s="2851">
        <v>0.1</v>
      </c>
      <c r="F96" s="2851">
        <v>15</v>
      </c>
    </row>
    <row r="97" spans="1:6" ht="13.5">
      <c r="A97" s="2851">
        <v>25</v>
      </c>
      <c r="B97" s="3515"/>
      <c r="C97" s="2825" t="s">
        <v>2699</v>
      </c>
      <c r="D97" s="2825" t="s">
        <v>2700</v>
      </c>
      <c r="E97" s="2851">
        <v>0.1</v>
      </c>
      <c r="F97" s="2851">
        <v>15</v>
      </c>
    </row>
    <row r="98" spans="1:6" ht="24">
      <c r="A98" s="2851">
        <v>26</v>
      </c>
      <c r="B98" s="3515"/>
      <c r="C98" s="2825" t="s">
        <v>2701</v>
      </c>
      <c r="D98" s="2825" t="s">
        <v>2702</v>
      </c>
      <c r="E98" s="2851">
        <v>0.1</v>
      </c>
      <c r="F98" s="2851">
        <v>15</v>
      </c>
    </row>
    <row r="99" spans="1:6" ht="24">
      <c r="A99" s="2851">
        <v>27</v>
      </c>
      <c r="B99" s="3515"/>
      <c r="C99" s="2825" t="s">
        <v>2703</v>
      </c>
      <c r="D99" s="2825" t="s">
        <v>2704</v>
      </c>
      <c r="E99" s="2851">
        <v>0.1</v>
      </c>
      <c r="F99" s="2851">
        <v>15</v>
      </c>
    </row>
    <row r="100" spans="1:6" ht="13.5">
      <c r="A100" s="2851">
        <v>28</v>
      </c>
      <c r="B100" s="3515"/>
      <c r="C100" s="2825" t="s">
        <v>2705</v>
      </c>
      <c r="D100" s="2825" t="s">
        <v>2706</v>
      </c>
      <c r="E100" s="2851">
        <v>0.1</v>
      </c>
      <c r="F100" s="2851">
        <v>15</v>
      </c>
    </row>
    <row r="101" spans="1:6" ht="13.5">
      <c r="A101" s="2851">
        <v>29</v>
      </c>
      <c r="B101" s="3515"/>
      <c r="C101" s="2825" t="s">
        <v>2707</v>
      </c>
      <c r="D101" s="2825" t="s">
        <v>2708</v>
      </c>
      <c r="E101" s="2851">
        <v>0.1</v>
      </c>
      <c r="F101" s="2851">
        <v>15</v>
      </c>
    </row>
    <row r="102" spans="1:6" ht="13.5">
      <c r="A102" s="2851">
        <v>30</v>
      </c>
      <c r="B102" s="3515"/>
      <c r="C102" s="2825" t="s">
        <v>2709</v>
      </c>
      <c r="D102" s="2825" t="s">
        <v>2710</v>
      </c>
      <c r="E102" s="2851">
        <v>0.1</v>
      </c>
      <c r="F102" s="2851">
        <v>15</v>
      </c>
    </row>
    <row r="103" spans="1:6" ht="24">
      <c r="A103" s="2851">
        <v>31</v>
      </c>
      <c r="B103" s="3515"/>
      <c r="C103" s="2825" t="s">
        <v>2711</v>
      </c>
      <c r="D103" s="2825" t="s">
        <v>2712</v>
      </c>
      <c r="E103" s="2851">
        <v>0.1</v>
      </c>
      <c r="F103" s="2851">
        <v>15</v>
      </c>
    </row>
    <row r="104" spans="1:6" ht="24">
      <c r="A104" s="2851">
        <v>32</v>
      </c>
      <c r="B104" s="3515"/>
      <c r="C104" s="2825" t="s">
        <v>2713</v>
      </c>
      <c r="D104" s="2825" t="s">
        <v>2714</v>
      </c>
      <c r="E104" s="2851">
        <v>0.1</v>
      </c>
      <c r="F104" s="2851">
        <v>15</v>
      </c>
    </row>
    <row r="105" spans="1:6" ht="24">
      <c r="A105" s="2851">
        <v>33</v>
      </c>
      <c r="B105" s="3515"/>
      <c r="C105" s="2825" t="s">
        <v>2715</v>
      </c>
      <c r="D105" s="2825" t="s">
        <v>2716</v>
      </c>
      <c r="E105" s="2851">
        <v>0.1</v>
      </c>
      <c r="F105" s="2851">
        <v>15</v>
      </c>
    </row>
    <row r="106" spans="1:6" ht="24">
      <c r="A106" s="2851">
        <v>34</v>
      </c>
      <c r="B106" s="3514"/>
      <c r="C106" s="2825" t="s">
        <v>2717</v>
      </c>
      <c r="D106" s="2825" t="s">
        <v>2718</v>
      </c>
      <c r="E106" s="2851">
        <v>0.1</v>
      </c>
      <c r="F106" s="2851">
        <v>15</v>
      </c>
    </row>
    <row r="107" spans="1:6" ht="24">
      <c r="A107" s="2851">
        <v>35</v>
      </c>
      <c r="B107" s="3513" t="s">
        <v>2719</v>
      </c>
      <c r="C107" s="2851" t="s">
        <v>2720</v>
      </c>
      <c r="D107" s="2825" t="s">
        <v>2721</v>
      </c>
      <c r="E107" s="2851">
        <v>0.15</v>
      </c>
      <c r="F107" s="2851">
        <v>20</v>
      </c>
    </row>
    <row r="108" spans="1:6" ht="13.5">
      <c r="A108" s="2851">
        <v>36</v>
      </c>
      <c r="B108" s="3515"/>
      <c r="C108" s="2851" t="s">
        <v>2722</v>
      </c>
      <c r="D108" s="2825" t="s">
        <v>2723</v>
      </c>
      <c r="E108" s="2851">
        <v>0.15</v>
      </c>
      <c r="F108" s="2851">
        <v>20</v>
      </c>
    </row>
    <row r="109" spans="1:6" ht="13.5">
      <c r="A109" s="2851">
        <v>37</v>
      </c>
      <c r="B109" s="3515"/>
      <c r="C109" s="2851" t="s">
        <v>2724</v>
      </c>
      <c r="D109" s="2825" t="s">
        <v>2725</v>
      </c>
      <c r="E109" s="2851">
        <v>0.15</v>
      </c>
      <c r="F109" s="2851">
        <v>20</v>
      </c>
    </row>
    <row r="110" spans="1:6" ht="13.5">
      <c r="A110" s="2851">
        <v>38</v>
      </c>
      <c r="B110" s="3515"/>
      <c r="C110" s="2851" t="s">
        <v>2726</v>
      </c>
      <c r="D110" s="2825" t="s">
        <v>2727</v>
      </c>
      <c r="E110" s="2851">
        <v>0.1</v>
      </c>
      <c r="F110" s="2851">
        <v>15</v>
      </c>
    </row>
    <row r="111" spans="1:6" ht="24">
      <c r="A111" s="2851">
        <v>39</v>
      </c>
      <c r="B111" s="3515"/>
      <c r="C111" s="2851" t="s">
        <v>2728</v>
      </c>
      <c r="D111" s="2825" t="s">
        <v>2729</v>
      </c>
      <c r="E111" s="2851">
        <v>0.1</v>
      </c>
      <c r="F111" s="2851">
        <v>15</v>
      </c>
    </row>
    <row r="112" spans="1:6" ht="24">
      <c r="A112" s="2851">
        <v>40</v>
      </c>
      <c r="B112" s="3514"/>
      <c r="C112" s="2851" t="s">
        <v>2730</v>
      </c>
      <c r="D112" s="2825" t="s">
        <v>2731</v>
      </c>
      <c r="E112" s="2851">
        <v>0.1</v>
      </c>
      <c r="F112" s="2851">
        <v>15</v>
      </c>
    </row>
    <row r="113" spans="1:6" ht="13.5">
      <c r="A113" s="2851">
        <v>41</v>
      </c>
      <c r="B113" s="3512" t="s">
        <v>2732</v>
      </c>
      <c r="C113" s="2851" t="s">
        <v>2733</v>
      </c>
      <c r="D113" s="2825" t="s">
        <v>2734</v>
      </c>
      <c r="E113" s="2851">
        <v>0.1</v>
      </c>
      <c r="F113" s="2851">
        <v>15</v>
      </c>
    </row>
    <row r="114" spans="1:6" ht="13.5">
      <c r="A114" s="2851">
        <v>42</v>
      </c>
      <c r="B114" s="3512"/>
      <c r="C114" s="2851" t="s">
        <v>2735</v>
      </c>
      <c r="D114" s="2825" t="s">
        <v>2736</v>
      </c>
      <c r="E114" s="2851">
        <v>0.1</v>
      </c>
      <c r="F114" s="2851">
        <v>15</v>
      </c>
    </row>
    <row r="115" spans="1:6" ht="24">
      <c r="A115" s="2851">
        <v>43</v>
      </c>
      <c r="B115" s="3512"/>
      <c r="C115" s="2851" t="s">
        <v>2737</v>
      </c>
      <c r="D115" s="2825" t="s">
        <v>2738</v>
      </c>
      <c r="E115" s="2851">
        <v>0.1</v>
      </c>
      <c r="F115" s="2851">
        <v>15</v>
      </c>
    </row>
    <row r="116" spans="1:6" ht="13.5">
      <c r="A116" s="2851">
        <v>44</v>
      </c>
      <c r="B116" s="3513" t="s">
        <v>2739</v>
      </c>
      <c r="C116" s="2851" t="s">
        <v>2740</v>
      </c>
      <c r="D116" s="2825" t="s">
        <v>2741</v>
      </c>
      <c r="E116" s="2851">
        <v>0.1</v>
      </c>
      <c r="F116" s="2851">
        <v>15</v>
      </c>
    </row>
    <row r="117" spans="1:6" ht="24">
      <c r="A117" s="2851">
        <v>45</v>
      </c>
      <c r="B117" s="3514"/>
      <c r="C117" s="2825" t="s">
        <v>2742</v>
      </c>
      <c r="D117" s="2825" t="s">
        <v>2743</v>
      </c>
      <c r="E117" s="2851">
        <v>0.1</v>
      </c>
      <c r="F117" s="2851">
        <v>15</v>
      </c>
    </row>
    <row r="118" spans="1:6" ht="24">
      <c r="A118" s="2851">
        <v>46</v>
      </c>
      <c r="B118" s="3513" t="s">
        <v>2744</v>
      </c>
      <c r="C118" s="2851" t="s">
        <v>2745</v>
      </c>
      <c r="D118" s="2825" t="s">
        <v>2746</v>
      </c>
      <c r="E118" s="2851">
        <v>0.1</v>
      </c>
      <c r="F118" s="2851">
        <v>15</v>
      </c>
    </row>
    <row r="119" spans="1:6" ht="24">
      <c r="A119" s="2851">
        <v>47</v>
      </c>
      <c r="B119" s="3514"/>
      <c r="C119" s="2851" t="s">
        <v>2747</v>
      </c>
      <c r="D119" s="2825" t="s">
        <v>2748</v>
      </c>
      <c r="E119" s="2851">
        <v>0.1</v>
      </c>
      <c r="F119" s="2851">
        <v>15</v>
      </c>
    </row>
    <row r="120" spans="1:6" ht="13.5">
      <c r="A120" s="2851">
        <v>48</v>
      </c>
      <c r="B120" s="3513" t="s">
        <v>2749</v>
      </c>
      <c r="C120" s="2851" t="s">
        <v>2750</v>
      </c>
      <c r="D120" s="2825" t="s">
        <v>2751</v>
      </c>
      <c r="E120" s="2851">
        <v>0.1</v>
      </c>
      <c r="F120" s="2851">
        <v>15</v>
      </c>
    </row>
    <row r="121" spans="1:6" ht="13.5">
      <c r="A121" s="2851">
        <v>49</v>
      </c>
      <c r="B121" s="3514"/>
      <c r="C121" s="2851" t="s">
        <v>2752</v>
      </c>
      <c r="D121" s="2825" t="s">
        <v>2753</v>
      </c>
      <c r="E121" s="2851">
        <v>0.1</v>
      </c>
      <c r="F121" s="2851">
        <v>15</v>
      </c>
    </row>
    <row r="122" spans="1:6" ht="24">
      <c r="A122" s="2851">
        <v>50</v>
      </c>
      <c r="B122" s="3512" t="s">
        <v>2754</v>
      </c>
      <c r="C122" s="2851" t="s">
        <v>2755</v>
      </c>
      <c r="D122" s="2825" t="s">
        <v>2756</v>
      </c>
      <c r="E122" s="2851">
        <v>0.1</v>
      </c>
      <c r="F122" s="2851">
        <v>15</v>
      </c>
    </row>
    <row r="123" spans="1:6" ht="24">
      <c r="A123" s="2851">
        <v>51</v>
      </c>
      <c r="B123" s="3512"/>
      <c r="C123" s="2851" t="s">
        <v>2757</v>
      </c>
      <c r="D123" s="2825" t="s">
        <v>2758</v>
      </c>
      <c r="E123" s="2851">
        <v>0.1</v>
      </c>
      <c r="F123" s="2851">
        <v>15</v>
      </c>
    </row>
    <row r="124" spans="1:6" ht="24">
      <c r="A124" s="2851">
        <v>52</v>
      </c>
      <c r="B124" s="3512" t="s">
        <v>2759</v>
      </c>
      <c r="C124" s="2851" t="s">
        <v>2760</v>
      </c>
      <c r="D124" s="2825" t="s">
        <v>2761</v>
      </c>
      <c r="E124" s="2851">
        <v>0.1</v>
      </c>
      <c r="F124" s="2851">
        <v>15</v>
      </c>
    </row>
    <row r="125" spans="1:6" ht="24">
      <c r="A125" s="2851">
        <v>53</v>
      </c>
      <c r="B125" s="3512"/>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12" t="s">
        <v>2767</v>
      </c>
      <c r="C127" s="2851" t="s">
        <v>2768</v>
      </c>
      <c r="D127" s="2825" t="s">
        <v>2769</v>
      </c>
      <c r="E127" s="2851">
        <v>0.1</v>
      </c>
      <c r="F127" s="2851">
        <v>15</v>
      </c>
    </row>
    <row r="128" spans="1:6" ht="13.5">
      <c r="A128" s="2851">
        <v>56</v>
      </c>
      <c r="B128" s="3512"/>
      <c r="C128" s="2851" t="s">
        <v>2770</v>
      </c>
      <c r="D128" s="2825" t="s">
        <v>2771</v>
      </c>
      <c r="E128" s="2851">
        <v>0.1</v>
      </c>
      <c r="F128" s="2851">
        <v>15</v>
      </c>
    </row>
    <row r="129" spans="1:6" ht="24">
      <c r="A129" s="2851">
        <v>57</v>
      </c>
      <c r="B129" s="3512"/>
      <c r="C129" s="2851" t="s">
        <v>2772</v>
      </c>
      <c r="D129" s="2825" t="s">
        <v>2773</v>
      </c>
      <c r="E129" s="2851">
        <v>0.1</v>
      </c>
      <c r="F129" s="2851">
        <v>15</v>
      </c>
    </row>
    <row r="130" spans="1:6" ht="24">
      <c r="A130" s="2851">
        <v>58</v>
      </c>
      <c r="B130" s="3512" t="s">
        <v>2774</v>
      </c>
      <c r="C130" s="2851" t="s">
        <v>2775</v>
      </c>
      <c r="D130" s="2825" t="s">
        <v>2776</v>
      </c>
      <c r="E130" s="2851">
        <v>0.1</v>
      </c>
      <c r="F130" s="2851">
        <v>15</v>
      </c>
    </row>
    <row r="131" spans="1:6" ht="13.5">
      <c r="A131" s="2851">
        <v>59</v>
      </c>
      <c r="B131" s="3512"/>
      <c r="C131" s="2851" t="s">
        <v>2777</v>
      </c>
      <c r="D131" s="2825" t="s">
        <v>2778</v>
      </c>
      <c r="E131" s="2851">
        <v>0.1</v>
      </c>
      <c r="F131" s="2851">
        <v>15</v>
      </c>
    </row>
    <row r="132" spans="1:6" ht="13.5">
      <c r="A132" s="2851">
        <v>60</v>
      </c>
      <c r="B132" s="3513" t="s">
        <v>2779</v>
      </c>
      <c r="C132" s="2851" t="s">
        <v>2780</v>
      </c>
      <c r="D132" s="2825" t="s">
        <v>2781</v>
      </c>
      <c r="E132" s="2851">
        <v>0.1</v>
      </c>
      <c r="F132" s="2851">
        <v>15</v>
      </c>
    </row>
    <row r="133" spans="1:6" ht="13.5">
      <c r="A133" s="2851">
        <v>61</v>
      </c>
      <c r="B133" s="3514"/>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12" t="s">
        <v>2787</v>
      </c>
      <c r="C135" s="2851" t="s">
        <v>2788</v>
      </c>
      <c r="D135" s="2825" t="s">
        <v>2789</v>
      </c>
      <c r="E135" s="2851">
        <v>0.1</v>
      </c>
      <c r="F135" s="2851">
        <v>15</v>
      </c>
    </row>
    <row r="136" spans="1:6" ht="13.5">
      <c r="A136" s="2851">
        <v>64</v>
      </c>
      <c r="B136" s="3512"/>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4"/>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0.94220000000000004</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0.89239999999999997</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133395</v>
      </c>
      <c r="C2" s="2" t="s">
        <v>106</v>
      </c>
      <c r="D2" s="191"/>
      <c r="E2" s="191"/>
      <c r="F2" s="191"/>
      <c r="G2" s="191"/>
    </row>
    <row r="3" spans="1:7" s="192" customFormat="1" ht="18" customHeight="1" thickBot="1">
      <c r="A3" s="195" t="s">
        <v>58</v>
      </c>
      <c r="B3" s="196">
        <f ca="1">ROUND(B2*10000/'数据-汇总表'!E3,0)</f>
        <v>15810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669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2170</v>
      </c>
      <c r="D22" s="227">
        <f ca="1">C26</f>
        <v>1.4E-3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162</v>
      </c>
      <c r="D24" s="230"/>
      <c r="E24" s="230"/>
      <c r="F24" s="231"/>
      <c r="G24" s="232" t="s">
        <v>82</v>
      </c>
    </row>
    <row r="25" spans="1:7" s="206" customFormat="1" ht="24">
      <c r="A25" s="731" t="s">
        <v>348</v>
      </c>
      <c r="B25" s="207" t="s">
        <v>420</v>
      </c>
      <c r="C25" s="1039">
        <f ca="1">ROUND(IF('数据-取费表'!B22&lt;=1,C20*F22*'数据-取费表'!B23/2,C20*(POWER((1+F22),'数据-取费表'!B23/2)-1)),0)</f>
        <v>31</v>
      </c>
      <c r="D25" s="230"/>
      <c r="E25" s="233"/>
      <c r="F25" s="231"/>
      <c r="G25" s="234" t="s">
        <v>83</v>
      </c>
    </row>
    <row r="26" spans="1:7" s="206" customFormat="1">
      <c r="A26" s="731" t="s">
        <v>350</v>
      </c>
      <c r="B26" s="207" t="s">
        <v>422</v>
      </c>
      <c r="C26" s="230">
        <f ca="1">ROUND(IF('数据-取费表'!B22&lt;=1,F21*F22*'数据-取费表'!B23/2,F21*(POWER((1+F22),'数据-取费表'!B23/2)-1)),4)</f>
        <v>1.4E-3</v>
      </c>
      <c r="D26" s="230"/>
      <c r="E26" s="233"/>
      <c r="F26" s="231"/>
      <c r="G26" s="235"/>
    </row>
    <row r="27" spans="1:7" s="206" customFormat="1" ht="24.75">
      <c r="A27" s="728" t="s">
        <v>342</v>
      </c>
      <c r="B27" s="236" t="s">
        <v>85</v>
      </c>
      <c r="C27" s="237">
        <f>C28</f>
        <v>4593</v>
      </c>
      <c r="D27" s="227">
        <f>C29</f>
        <v>6.0000000000000001E-3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4593</v>
      </c>
      <c r="D28" s="227"/>
      <c r="E28" s="228"/>
      <c r="F28" s="238"/>
      <c r="G28" s="239"/>
    </row>
    <row r="29" spans="1:7" s="206" customFormat="1" ht="13.5" customHeight="1">
      <c r="A29" s="731" t="s">
        <v>347</v>
      </c>
      <c r="B29" s="240" t="s">
        <v>425</v>
      </c>
      <c r="C29" s="230">
        <f>ROUND(C21*F27*'数据-取费表'!B21/'数据-取费表'!B20,4)</f>
        <v>6.0000000000000001E-3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32696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71295</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63280</v>
      </c>
      <c r="D34" s="209"/>
      <c r="E34" s="212"/>
      <c r="F34" s="249">
        <f>IF('数据-取费表'!B24=0,1,'数据-取费表'!N16)</f>
        <v>1</v>
      </c>
      <c r="G34" s="211" t="s">
        <v>89</v>
      </c>
    </row>
    <row r="35" spans="1:7" ht="13.5" customHeight="1">
      <c r="A35" s="731" t="s">
        <v>351</v>
      </c>
      <c r="B35" s="207" t="s">
        <v>33</v>
      </c>
      <c r="C35" s="212">
        <f>ROUND(C34*F35,0)</f>
        <v>5062</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1266</v>
      </c>
      <c r="D38" s="212"/>
      <c r="E38" s="212"/>
      <c r="F38" s="251">
        <f>'数据-取费表'!B36</f>
        <v>0.02</v>
      </c>
      <c r="G38" s="211" t="s">
        <v>90</v>
      </c>
    </row>
    <row r="39" spans="1:7" s="206" customFormat="1" ht="13.5" customHeight="1">
      <c r="A39" s="728" t="s">
        <v>338</v>
      </c>
      <c r="B39" s="202" t="s">
        <v>77</v>
      </c>
      <c r="C39" s="224">
        <f>ROUND(C33*F20,0)</f>
        <v>2139</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3441</v>
      </c>
      <c r="D41" s="227">
        <f ca="1">C44</f>
        <v>1.4E-3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3341</v>
      </c>
      <c r="D42" s="230"/>
      <c r="E42" s="230"/>
      <c r="F42" s="231"/>
      <c r="G42" s="3438" t="s">
        <v>94</v>
      </c>
    </row>
    <row r="43" spans="1:7" ht="13.5" customHeight="1">
      <c r="A43" s="731" t="s">
        <v>347</v>
      </c>
      <c r="B43" s="207" t="s">
        <v>426</v>
      </c>
      <c r="C43" s="230">
        <f ca="1">ROUND(IF('数据-取费表'!B22&lt;=1,C39*F22*'数据-取费表'!B21/2,C39*(POWER((1+F22),'数据-取费表'!B21/2)-1)),0)</f>
        <v>100</v>
      </c>
      <c r="D43" s="230"/>
      <c r="E43" s="230"/>
      <c r="F43" s="231"/>
      <c r="G43" s="3439"/>
    </row>
    <row r="44" spans="1:7" ht="13.5" customHeight="1">
      <c r="A44" s="731" t="s">
        <v>348</v>
      </c>
      <c r="B44" s="207" t="s">
        <v>428</v>
      </c>
      <c r="C44" s="230">
        <f ca="1">ROUND(IF('数据-取费表'!B22&lt;=1,C40*F22*'数据-取费表'!B21/2,C40*(POWER((1+F22),'数据-取费表'!B21/2)-1)),4)</f>
        <v>1.4E-3</v>
      </c>
      <c r="D44" s="230"/>
      <c r="E44" s="230"/>
      <c r="F44" s="231"/>
      <c r="G44" s="3440"/>
    </row>
    <row r="45" spans="1:7" s="206" customFormat="1" ht="13.5" customHeight="1">
      <c r="A45" s="728" t="s">
        <v>341</v>
      </c>
      <c r="B45" s="236" t="s">
        <v>85</v>
      </c>
      <c r="C45" s="237">
        <f>C46</f>
        <v>14687</v>
      </c>
      <c r="D45" s="227">
        <f>C47</f>
        <v>6.0000000000000001E-3</v>
      </c>
      <c r="E45" s="228" t="s">
        <v>102</v>
      </c>
      <c r="F45" s="238"/>
      <c r="G45" s="239" t="s">
        <v>434</v>
      </c>
    </row>
    <row r="46" spans="1:7" s="206" customFormat="1" ht="13.5" customHeight="1">
      <c r="A46" s="731" t="s">
        <v>349</v>
      </c>
      <c r="B46" s="240" t="s">
        <v>427</v>
      </c>
      <c r="C46" s="241">
        <f>ROUND((C33+C39)*F27,0)</f>
        <v>14687</v>
      </c>
      <c r="D46" s="255"/>
      <c r="E46" s="228"/>
      <c r="F46" s="238"/>
      <c r="G46" s="239"/>
    </row>
    <row r="47" spans="1:7" s="206" customFormat="1" ht="13.5" customHeight="1">
      <c r="A47" s="731" t="s">
        <v>347</v>
      </c>
      <c r="B47" s="240" t="s">
        <v>429</v>
      </c>
      <c r="C47" s="230">
        <f>ROUND(C40*F27,4)</f>
        <v>6.0000000000000001E-3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100699</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100699</v>
      </c>
      <c r="D51" s="224"/>
      <c r="E51" s="224"/>
      <c r="F51" s="256"/>
      <c r="G51" s="226" t="s">
        <v>37</v>
      </c>
    </row>
    <row r="52" spans="1:7" s="200" customFormat="1" ht="16.5" thickBot="1">
      <c r="A52" s="257" t="s">
        <v>38</v>
      </c>
      <c r="B52" s="258"/>
      <c r="C52" s="259">
        <f ca="1">C31+C51</f>
        <v>133395</v>
      </c>
      <c r="D52" s="258"/>
      <c r="E52" s="258"/>
      <c r="F52" s="258"/>
      <c r="G52" s="260"/>
    </row>
    <row r="55" spans="1:7" ht="15">
      <c r="B55" s="262" t="s">
        <v>39</v>
      </c>
      <c r="C55" s="263"/>
    </row>
    <row r="56" spans="1:7">
      <c r="B56" s="265" t="s">
        <v>40</v>
      </c>
      <c r="C56" s="266">
        <f ca="1">ROUND(C51/C52,3)</f>
        <v>0.755</v>
      </c>
    </row>
    <row r="57" spans="1:7">
      <c r="B57" s="265" t="s">
        <v>41</v>
      </c>
      <c r="C57" s="267">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29"/>
    </sheetView>
  </sheetViews>
  <sheetFormatPr defaultColWidth="8.875" defaultRowHeight="11.25"/>
  <cols>
    <col min="1" max="1" width="9.625" style="3173" customWidth="1"/>
    <col min="2" max="2" width="18.625" style="3173" customWidth="1"/>
    <col min="3" max="6" width="10.25" style="3173" customWidth="1"/>
    <col min="7" max="7" width="10.5" style="3173" bestFit="1" customWidth="1"/>
    <col min="8" max="8" width="8.875" style="3169"/>
    <col min="9" max="9" width="13.375" style="3169" customWidth="1"/>
    <col min="10" max="13" width="13.375" style="3173" customWidth="1"/>
    <col min="14" max="14" width="18.25" style="3173" customWidth="1"/>
    <col min="15" max="17" width="15.125" style="3173" customWidth="1"/>
    <col min="18" max="20" width="11.5" style="3173" customWidth="1"/>
    <col min="21" max="16384" width="8.875" style="3173"/>
  </cols>
  <sheetData>
    <row r="1" spans="1:20" ht="12" thickBot="1">
      <c r="A1" s="3526" t="s">
        <v>2837</v>
      </c>
      <c r="B1" s="3526"/>
      <c r="C1" s="3526"/>
      <c r="D1" s="3526"/>
      <c r="E1" s="3526"/>
      <c r="F1" s="3526"/>
      <c r="G1" s="3527"/>
      <c r="I1" s="3170" t="s">
        <v>2838</v>
      </c>
      <c r="J1" s="3171" t="s">
        <v>2839</v>
      </c>
      <c r="K1" s="3171" t="s">
        <v>2840</v>
      </c>
      <c r="L1" s="3171" t="s">
        <v>2841</v>
      </c>
      <c r="M1" s="3171" t="s">
        <v>2842</v>
      </c>
      <c r="N1" s="3171" t="s">
        <v>2843</v>
      </c>
      <c r="O1" s="3171" t="s">
        <v>2844</v>
      </c>
      <c r="P1" s="3171" t="s">
        <v>2845</v>
      </c>
      <c r="Q1" s="3171" t="s">
        <v>2846</v>
      </c>
      <c r="R1" s="3171" t="s">
        <v>2847</v>
      </c>
      <c r="S1" s="3171" t="s">
        <v>2848</v>
      </c>
      <c r="T1" s="3172" t="s">
        <v>2849</v>
      </c>
    </row>
    <row r="2" spans="1:20" ht="12" thickBot="1">
      <c r="A2" s="3174" t="s">
        <v>2850</v>
      </c>
      <c r="B2" s="3174"/>
      <c r="C2" s="3174"/>
      <c r="D2" s="3174"/>
      <c r="E2" s="3174"/>
      <c r="F2" s="3174"/>
      <c r="G2" s="3175" t="s">
        <v>2851</v>
      </c>
      <c r="I2" s="3176" t="s">
        <v>2852</v>
      </c>
      <c r="J2" s="3176" t="s">
        <v>2853</v>
      </c>
      <c r="K2" s="3176" t="s">
        <v>2854</v>
      </c>
      <c r="L2" s="3176" t="s">
        <v>2855</v>
      </c>
      <c r="M2" s="3176" t="s">
        <v>2856</v>
      </c>
      <c r="N2" s="3176" t="s">
        <v>2857</v>
      </c>
      <c r="O2" s="3176" t="s">
        <v>2858</v>
      </c>
      <c r="P2" s="3176" t="s">
        <v>2859</v>
      </c>
      <c r="Q2" s="3176" t="s">
        <v>2860</v>
      </c>
      <c r="R2" s="3176" t="s">
        <v>2861</v>
      </c>
      <c r="S2" s="3176" t="s">
        <v>2862</v>
      </c>
      <c r="T2" s="3176" t="s">
        <v>2863</v>
      </c>
    </row>
    <row r="3" spans="1:20" s="3182" customFormat="1">
      <c r="A3" s="3524" t="s">
        <v>2864</v>
      </c>
      <c r="B3" s="3177"/>
      <c r="C3" s="3178" t="s">
        <v>2809</v>
      </c>
      <c r="D3" s="3178" t="s">
        <v>2865</v>
      </c>
      <c r="E3" s="3178" t="s">
        <v>2811</v>
      </c>
      <c r="F3" s="3178" t="s">
        <v>2866</v>
      </c>
      <c r="G3" s="3178" t="s">
        <v>2629</v>
      </c>
      <c r="H3" s="3179"/>
      <c r="I3" s="3180" t="s">
        <v>2867</v>
      </c>
      <c r="J3" s="3181" t="s">
        <v>128</v>
      </c>
      <c r="K3" s="3181" t="s">
        <v>129</v>
      </c>
      <c r="L3" s="3180" t="s">
        <v>130</v>
      </c>
      <c r="M3" s="3180" t="s">
        <v>131</v>
      </c>
      <c r="N3" s="3180" t="s">
        <v>132</v>
      </c>
      <c r="O3" s="3180" t="s">
        <v>133</v>
      </c>
      <c r="P3" s="3180" t="s">
        <v>134</v>
      </c>
      <c r="Q3" s="3180" t="s">
        <v>135</v>
      </c>
      <c r="R3" s="3180" t="s">
        <v>136</v>
      </c>
      <c r="S3" s="3180" t="s">
        <v>2868</v>
      </c>
      <c r="T3" s="3180" t="s">
        <v>2869</v>
      </c>
    </row>
    <row r="4" spans="1:20" s="3182" customFormat="1" ht="12" thickBot="1">
      <c r="A4" s="3525"/>
      <c r="B4" s="3183" t="s">
        <v>2870</v>
      </c>
      <c r="C4" s="3183" t="s">
        <v>2871</v>
      </c>
      <c r="D4" s="3183" t="s">
        <v>2871</v>
      </c>
      <c r="E4" s="3183" t="s">
        <v>2871</v>
      </c>
      <c r="F4" s="3184" t="s">
        <v>2871</v>
      </c>
      <c r="G4" s="3184" t="s">
        <v>2871</v>
      </c>
      <c r="H4" s="3179"/>
      <c r="I4" s="3181" t="s">
        <v>137</v>
      </c>
      <c r="J4" s="3181" t="s">
        <v>111</v>
      </c>
      <c r="K4" s="3181" t="s">
        <v>138</v>
      </c>
      <c r="L4" s="3180" t="s">
        <v>139</v>
      </c>
      <c r="M4" s="3180" t="s">
        <v>140</v>
      </c>
      <c r="N4" s="3180" t="s">
        <v>141</v>
      </c>
      <c r="O4" s="3180" t="s">
        <v>142</v>
      </c>
      <c r="P4" s="3180" t="s">
        <v>143</v>
      </c>
      <c r="Q4" s="3180" t="s">
        <v>2872</v>
      </c>
      <c r="R4" s="3180" t="s">
        <v>2873</v>
      </c>
      <c r="S4" s="3180" t="s">
        <v>2874</v>
      </c>
      <c r="T4" s="3180" t="s">
        <v>2875</v>
      </c>
    </row>
    <row r="5" spans="1:20">
      <c r="A5" s="3185" t="s">
        <v>2838</v>
      </c>
      <c r="B5" s="3176" t="s">
        <v>2852</v>
      </c>
      <c r="C5" s="3176">
        <v>34550</v>
      </c>
      <c r="D5" s="3176">
        <v>34470</v>
      </c>
      <c r="E5" s="3176">
        <v>34330</v>
      </c>
      <c r="F5" s="3176">
        <v>13400</v>
      </c>
      <c r="G5" s="3176">
        <v>25450</v>
      </c>
      <c r="H5" s="3179"/>
      <c r="I5" s="3180" t="s">
        <v>145</v>
      </c>
      <c r="J5" s="3181" t="s">
        <v>146</v>
      </c>
      <c r="K5" s="3181" t="s">
        <v>147</v>
      </c>
      <c r="L5" s="3180" t="s">
        <v>148</v>
      </c>
      <c r="M5" s="3180" t="s">
        <v>149</v>
      </c>
      <c r="N5" s="3180" t="s">
        <v>150</v>
      </c>
      <c r="O5" s="3180" t="s">
        <v>151</v>
      </c>
      <c r="P5" s="3180" t="s">
        <v>152</v>
      </c>
      <c r="Q5" s="3180" t="s">
        <v>2876</v>
      </c>
      <c r="R5" s="3180" t="s">
        <v>2877</v>
      </c>
      <c r="S5" s="3180" t="s">
        <v>153</v>
      </c>
      <c r="T5" s="3180" t="s">
        <v>2878</v>
      </c>
    </row>
    <row r="6" spans="1:20" ht="12" thickBot="1">
      <c r="A6" s="3180" t="s">
        <v>144</v>
      </c>
      <c r="B6" s="3180" t="s">
        <v>2867</v>
      </c>
      <c r="C6" s="3180">
        <v>36990</v>
      </c>
      <c r="D6" s="3180">
        <v>36850</v>
      </c>
      <c r="E6" s="3180">
        <v>36700</v>
      </c>
      <c r="F6" s="3180">
        <v>14590</v>
      </c>
      <c r="G6" s="3180">
        <v>27450</v>
      </c>
      <c r="H6" s="3179"/>
      <c r="I6" s="3186" t="s">
        <v>154</v>
      </c>
      <c r="J6" s="3181" t="s">
        <v>155</v>
      </c>
      <c r="K6" s="3181" t="s">
        <v>156</v>
      </c>
      <c r="L6" s="3180" t="s">
        <v>157</v>
      </c>
      <c r="M6" s="3180" t="s">
        <v>158</v>
      </c>
      <c r="N6" s="3180" t="s">
        <v>159</v>
      </c>
      <c r="O6" s="3180" t="s">
        <v>160</v>
      </c>
      <c r="P6" s="3180" t="s">
        <v>2879</v>
      </c>
      <c r="Q6" s="3180" t="s">
        <v>2880</v>
      </c>
      <c r="R6" s="3180" t="s">
        <v>161</v>
      </c>
      <c r="S6" s="3180" t="s">
        <v>2881</v>
      </c>
      <c r="T6" s="3180" t="s">
        <v>2882</v>
      </c>
    </row>
    <row r="7" spans="1:20">
      <c r="A7" s="3180" t="s">
        <v>144</v>
      </c>
      <c r="B7" s="3181" t="s">
        <v>137</v>
      </c>
      <c r="C7" s="3180">
        <v>34850</v>
      </c>
      <c r="D7" s="3180">
        <v>34690</v>
      </c>
      <c r="E7" s="3180">
        <v>34550</v>
      </c>
      <c r="F7" s="3180">
        <v>14360</v>
      </c>
      <c r="G7" s="3180">
        <v>25620</v>
      </c>
      <c r="H7" s="3179"/>
      <c r="J7" s="3181" t="s">
        <v>162</v>
      </c>
      <c r="K7" s="3181" t="s">
        <v>163</v>
      </c>
      <c r="L7" s="3180" t="s">
        <v>164</v>
      </c>
      <c r="M7" s="3180" t="s">
        <v>165</v>
      </c>
      <c r="N7" s="3180" t="s">
        <v>166</v>
      </c>
      <c r="O7" s="3180" t="s">
        <v>167</v>
      </c>
      <c r="P7" s="3180" t="s">
        <v>2883</v>
      </c>
      <c r="Q7" s="3180" t="s">
        <v>2884</v>
      </c>
      <c r="R7" s="3180" t="s">
        <v>2885</v>
      </c>
      <c r="S7" s="3180" t="s">
        <v>2886</v>
      </c>
      <c r="T7" s="3180" t="s">
        <v>2887</v>
      </c>
    </row>
    <row r="8" spans="1:20" ht="12" thickBot="1">
      <c r="A8" s="3180" t="s">
        <v>144</v>
      </c>
      <c r="B8" s="3180" t="s">
        <v>145</v>
      </c>
      <c r="C8" s="3180">
        <v>32630</v>
      </c>
      <c r="D8" s="3180">
        <v>32510</v>
      </c>
      <c r="E8" s="3180">
        <v>32420</v>
      </c>
      <c r="F8" s="3180">
        <v>13300</v>
      </c>
      <c r="G8" s="3180">
        <v>24010</v>
      </c>
      <c r="H8" s="3179"/>
      <c r="J8" s="3181" t="s">
        <v>168</v>
      </c>
      <c r="K8" s="3181" t="s">
        <v>169</v>
      </c>
      <c r="L8" s="3180" t="s">
        <v>170</v>
      </c>
      <c r="M8" s="3180" t="s">
        <v>171</v>
      </c>
      <c r="N8" s="3180" t="s">
        <v>172</v>
      </c>
      <c r="O8" s="3180" t="s">
        <v>173</v>
      </c>
      <c r="P8" s="3180" t="s">
        <v>2888</v>
      </c>
      <c r="Q8" s="3180" t="s">
        <v>174</v>
      </c>
      <c r="R8" s="3180" t="s">
        <v>2889</v>
      </c>
      <c r="S8" s="3180" t="s">
        <v>2890</v>
      </c>
      <c r="T8" s="3187" t="s">
        <v>2891</v>
      </c>
    </row>
    <row r="9" spans="1:20" ht="12" thickBot="1">
      <c r="A9" s="3188" t="s">
        <v>144</v>
      </c>
      <c r="B9" s="3186" t="s">
        <v>154</v>
      </c>
      <c r="C9" s="3187">
        <v>36370</v>
      </c>
      <c r="D9" s="3187">
        <v>36210</v>
      </c>
      <c r="E9" s="3187">
        <v>36050</v>
      </c>
      <c r="F9" s="3187"/>
      <c r="G9" s="3187">
        <v>26740</v>
      </c>
      <c r="H9" s="3179"/>
      <c r="J9" s="3181" t="s">
        <v>175</v>
      </c>
      <c r="K9" s="3181" t="s">
        <v>176</v>
      </c>
      <c r="L9" s="3180" t="s">
        <v>177</v>
      </c>
      <c r="M9" s="3180" t="s">
        <v>178</v>
      </c>
      <c r="N9" s="3180" t="s">
        <v>179</v>
      </c>
      <c r="O9" s="3180" t="s">
        <v>180</v>
      </c>
      <c r="P9" s="3180" t="s">
        <v>2892</v>
      </c>
      <c r="Q9" s="3180" t="s">
        <v>182</v>
      </c>
      <c r="R9" s="3180" t="s">
        <v>183</v>
      </c>
      <c r="S9" s="3180" t="s">
        <v>200</v>
      </c>
    </row>
    <row r="10" spans="1:20">
      <c r="A10" s="3185" t="s">
        <v>184</v>
      </c>
      <c r="B10" s="3176" t="s">
        <v>2853</v>
      </c>
      <c r="C10" s="3180">
        <v>32350</v>
      </c>
      <c r="D10" s="3180">
        <v>31430</v>
      </c>
      <c r="E10" s="3180">
        <v>31320</v>
      </c>
      <c r="F10" s="3180">
        <v>10850</v>
      </c>
      <c r="G10" s="3180">
        <v>22860</v>
      </c>
      <c r="H10" s="3179"/>
      <c r="J10" s="3181" t="s">
        <v>185</v>
      </c>
      <c r="K10" s="3181" t="s">
        <v>186</v>
      </c>
      <c r="L10" s="3180" t="s">
        <v>187</v>
      </c>
      <c r="M10" s="3180" t="s">
        <v>188</v>
      </c>
      <c r="N10" s="3180" t="s">
        <v>189</v>
      </c>
      <c r="O10" s="3180" t="s">
        <v>190</v>
      </c>
      <c r="P10" s="3180" t="s">
        <v>181</v>
      </c>
      <c r="Q10" s="3180" t="s">
        <v>192</v>
      </c>
      <c r="R10" s="3180" t="s">
        <v>193</v>
      </c>
      <c r="S10" s="3180" t="s">
        <v>2893</v>
      </c>
    </row>
    <row r="11" spans="1:20">
      <c r="A11" s="3180" t="s">
        <v>184</v>
      </c>
      <c r="B11" s="3181" t="s">
        <v>128</v>
      </c>
      <c r="C11" s="3180">
        <v>31590</v>
      </c>
      <c r="D11" s="3180">
        <v>29490</v>
      </c>
      <c r="E11" s="3180">
        <v>28700</v>
      </c>
      <c r="F11" s="3180">
        <v>10410</v>
      </c>
      <c r="G11" s="3180">
        <v>21460</v>
      </c>
      <c r="H11" s="3179"/>
      <c r="J11" s="3181" t="s">
        <v>194</v>
      </c>
      <c r="K11" s="3181" t="s">
        <v>195</v>
      </c>
      <c r="L11" s="3180" t="s">
        <v>196</v>
      </c>
      <c r="M11" s="3180" t="s">
        <v>197</v>
      </c>
      <c r="N11" s="3180" t="s">
        <v>198</v>
      </c>
      <c r="O11" s="3180" t="s">
        <v>2894</v>
      </c>
      <c r="P11" s="3180" t="s">
        <v>191</v>
      </c>
      <c r="Q11" s="3180" t="s">
        <v>199</v>
      </c>
      <c r="R11" s="3180" t="s">
        <v>2895</v>
      </c>
      <c r="S11" s="3180" t="s">
        <v>2896</v>
      </c>
    </row>
    <row r="12" spans="1:20">
      <c r="A12" s="3180" t="s">
        <v>184</v>
      </c>
      <c r="B12" s="3181" t="s">
        <v>111</v>
      </c>
      <c r="C12" s="3180">
        <v>29640</v>
      </c>
      <c r="D12" s="3180">
        <v>27550</v>
      </c>
      <c r="E12" s="3180">
        <v>28010</v>
      </c>
      <c r="F12" s="3180">
        <v>8730</v>
      </c>
      <c r="G12" s="3180">
        <v>20050</v>
      </c>
      <c r="H12" s="3179"/>
      <c r="J12" s="3181" t="s">
        <v>201</v>
      </c>
      <c r="K12" s="3181" t="s">
        <v>202</v>
      </c>
      <c r="L12" s="3180" t="s">
        <v>203</v>
      </c>
      <c r="M12" s="3180" t="s">
        <v>204</v>
      </c>
      <c r="N12" s="3180" t="s">
        <v>205</v>
      </c>
      <c r="O12" s="3180" t="s">
        <v>2897</v>
      </c>
      <c r="P12" s="3180" t="s">
        <v>2898</v>
      </c>
      <c r="Q12" s="3180" t="s">
        <v>2899</v>
      </c>
      <c r="R12" s="3180" t="s">
        <v>2900</v>
      </c>
      <c r="S12" s="3180" t="s">
        <v>2901</v>
      </c>
    </row>
    <row r="13" spans="1:20">
      <c r="A13" s="3180" t="s">
        <v>184</v>
      </c>
      <c r="B13" s="3181" t="s">
        <v>146</v>
      </c>
      <c r="C13" s="3180">
        <v>29680</v>
      </c>
      <c r="D13" s="3180">
        <v>27660</v>
      </c>
      <c r="E13" s="3180">
        <v>28210</v>
      </c>
      <c r="F13" s="3180">
        <v>9590</v>
      </c>
      <c r="G13" s="3180">
        <v>20120</v>
      </c>
      <c r="H13" s="3179"/>
      <c r="J13" s="3181" t="s">
        <v>208</v>
      </c>
      <c r="K13" s="3181" t="s">
        <v>209</v>
      </c>
      <c r="L13" s="3180" t="s">
        <v>210</v>
      </c>
      <c r="M13" s="3180" t="s">
        <v>211</v>
      </c>
      <c r="N13" s="3180" t="s">
        <v>212</v>
      </c>
      <c r="O13" s="3180" t="s">
        <v>2902</v>
      </c>
      <c r="P13" s="3180" t="s">
        <v>206</v>
      </c>
      <c r="Q13" s="3180" t="s">
        <v>219</v>
      </c>
      <c r="R13" s="3180" t="s">
        <v>220</v>
      </c>
      <c r="S13" s="3180" t="s">
        <v>214</v>
      </c>
    </row>
    <row r="14" spans="1:20">
      <c r="A14" s="3180" t="s">
        <v>184</v>
      </c>
      <c r="B14" s="3181" t="s">
        <v>155</v>
      </c>
      <c r="C14" s="3180">
        <v>30520</v>
      </c>
      <c r="D14" s="3180">
        <v>29510</v>
      </c>
      <c r="E14" s="3180">
        <v>29400</v>
      </c>
      <c r="F14" s="3180">
        <v>9630</v>
      </c>
      <c r="G14" s="3180">
        <v>21480</v>
      </c>
      <c r="H14" s="3179"/>
      <c r="J14" s="3181" t="s">
        <v>2903</v>
      </c>
      <c r="K14" s="3181" t="s">
        <v>215</v>
      </c>
      <c r="L14" s="3180" t="s">
        <v>216</v>
      </c>
      <c r="M14" s="3180" t="s">
        <v>217</v>
      </c>
      <c r="N14" s="3180" t="s">
        <v>218</v>
      </c>
      <c r="O14" s="3180" t="s">
        <v>240</v>
      </c>
      <c r="P14" s="3180" t="s">
        <v>213</v>
      </c>
      <c r="Q14" s="3180" t="s">
        <v>2904</v>
      </c>
      <c r="R14" s="3180" t="s">
        <v>228</v>
      </c>
      <c r="S14" s="3180" t="s">
        <v>221</v>
      </c>
    </row>
    <row r="15" spans="1:20">
      <c r="A15" s="3180" t="s">
        <v>184</v>
      </c>
      <c r="B15" s="3181" t="s">
        <v>162</v>
      </c>
      <c r="C15" s="3180">
        <v>29090</v>
      </c>
      <c r="D15" s="3180">
        <v>27590</v>
      </c>
      <c r="E15" s="3180">
        <v>28120</v>
      </c>
      <c r="F15" s="3180">
        <v>9110</v>
      </c>
      <c r="G15" s="3180">
        <v>20070</v>
      </c>
      <c r="H15" s="3179"/>
      <c r="J15" s="3181" t="s">
        <v>222</v>
      </c>
      <c r="K15" s="3181" t="s">
        <v>223</v>
      </c>
      <c r="L15" s="3180" t="s">
        <v>224</v>
      </c>
      <c r="M15" s="3180" t="s">
        <v>225</v>
      </c>
      <c r="N15" s="3180" t="s">
        <v>226</v>
      </c>
      <c r="O15" s="3180" t="s">
        <v>2905</v>
      </c>
      <c r="P15" s="3180" t="s">
        <v>2906</v>
      </c>
      <c r="Q15" s="3180" t="s">
        <v>242</v>
      </c>
      <c r="R15" s="3180" t="s">
        <v>2907</v>
      </c>
      <c r="S15" s="3180" t="s">
        <v>229</v>
      </c>
    </row>
    <row r="16" spans="1:20">
      <c r="A16" s="3180" t="s">
        <v>184</v>
      </c>
      <c r="B16" s="3181" t="s">
        <v>168</v>
      </c>
      <c r="C16" s="3180">
        <v>26790</v>
      </c>
      <c r="D16" s="3180">
        <v>30370</v>
      </c>
      <c r="E16" s="3180">
        <v>30240</v>
      </c>
      <c r="F16" s="3180">
        <v>11590</v>
      </c>
      <c r="G16" s="3180">
        <v>22090</v>
      </c>
      <c r="H16" s="3179"/>
      <c r="J16" s="3181" t="s">
        <v>230</v>
      </c>
      <c r="K16" s="3181" t="s">
        <v>231</v>
      </c>
      <c r="L16" s="3180" t="s">
        <v>232</v>
      </c>
      <c r="M16" s="3180" t="s">
        <v>233</v>
      </c>
      <c r="N16" s="3180" t="s">
        <v>234</v>
      </c>
      <c r="O16" s="3180" t="s">
        <v>2908</v>
      </c>
      <c r="P16" s="3180" t="s">
        <v>227</v>
      </c>
      <c r="Q16" s="3180" t="s">
        <v>250</v>
      </c>
      <c r="R16" s="3180" t="s">
        <v>207</v>
      </c>
      <c r="S16" s="3180" t="s">
        <v>2909</v>
      </c>
    </row>
    <row r="17" spans="1:19" ht="14.25" customHeight="1">
      <c r="A17" s="3180" t="s">
        <v>184</v>
      </c>
      <c r="B17" s="3181" t="s">
        <v>175</v>
      </c>
      <c r="C17" s="3180">
        <v>29180</v>
      </c>
      <c r="D17" s="3180">
        <v>27620</v>
      </c>
      <c r="E17" s="3180">
        <v>28180</v>
      </c>
      <c r="F17" s="3180">
        <v>10790</v>
      </c>
      <c r="G17" s="3180">
        <v>20090</v>
      </c>
      <c r="H17" s="3179"/>
      <c r="J17" s="3181" t="s">
        <v>235</v>
      </c>
      <c r="K17" s="3181" t="s">
        <v>236</v>
      </c>
      <c r="L17" s="3180" t="s">
        <v>237</v>
      </c>
      <c r="M17" s="3180" t="s">
        <v>238</v>
      </c>
      <c r="N17" s="3180" t="s">
        <v>239</v>
      </c>
      <c r="O17" s="3180" t="s">
        <v>2910</v>
      </c>
      <c r="P17" s="3180" t="s">
        <v>2911</v>
      </c>
      <c r="Q17" s="3180" t="s">
        <v>256</v>
      </c>
      <c r="R17" s="3180" t="s">
        <v>2912</v>
      </c>
      <c r="S17" s="3180" t="s">
        <v>258</v>
      </c>
    </row>
    <row r="18" spans="1:19" ht="14.25" customHeight="1">
      <c r="A18" s="3180" t="s">
        <v>184</v>
      </c>
      <c r="B18" s="3181" t="s">
        <v>185</v>
      </c>
      <c r="C18" s="3180">
        <v>26840</v>
      </c>
      <c r="D18" s="3180">
        <v>28930</v>
      </c>
      <c r="E18" s="3180">
        <v>28820</v>
      </c>
      <c r="F18" s="3180"/>
      <c r="G18" s="3180">
        <v>21050</v>
      </c>
      <c r="H18" s="3179"/>
      <c r="J18" s="3181" t="s">
        <v>244</v>
      </c>
      <c r="K18" s="3181" t="s">
        <v>245</v>
      </c>
      <c r="L18" s="3180" t="s">
        <v>246</v>
      </c>
      <c r="M18" s="3180" t="s">
        <v>247</v>
      </c>
      <c r="N18" s="3180" t="s">
        <v>248</v>
      </c>
      <c r="O18" s="3180" t="s">
        <v>2913</v>
      </c>
      <c r="P18" s="3180" t="s">
        <v>241</v>
      </c>
      <c r="Q18" s="3180" t="s">
        <v>2914</v>
      </c>
      <c r="R18" s="3180" t="s">
        <v>257</v>
      </c>
      <c r="S18" s="3180" t="s">
        <v>266</v>
      </c>
    </row>
    <row r="19" spans="1:19" ht="14.25" customHeight="1">
      <c r="A19" s="3180" t="s">
        <v>184</v>
      </c>
      <c r="B19" s="3181" t="s">
        <v>194</v>
      </c>
      <c r="C19" s="3180">
        <v>27750</v>
      </c>
      <c r="D19" s="3180">
        <v>26680</v>
      </c>
      <c r="E19" s="3180">
        <v>26590</v>
      </c>
      <c r="F19" s="3180"/>
      <c r="G19" s="3180">
        <v>19420</v>
      </c>
      <c r="H19" s="3179"/>
      <c r="J19" s="3181" t="s">
        <v>251</v>
      </c>
      <c r="K19" s="3181" t="s">
        <v>252</v>
      </c>
      <c r="L19" s="3180" t="s">
        <v>253</v>
      </c>
      <c r="M19" s="3180" t="s">
        <v>254</v>
      </c>
      <c r="N19" s="3180" t="s">
        <v>255</v>
      </c>
      <c r="O19" s="3180" t="s">
        <v>2915</v>
      </c>
      <c r="P19" s="3180" t="s">
        <v>249</v>
      </c>
      <c r="Q19" s="3180" t="s">
        <v>2916</v>
      </c>
      <c r="R19" s="3180" t="s">
        <v>265</v>
      </c>
      <c r="S19" s="3180" t="s">
        <v>2917</v>
      </c>
    </row>
    <row r="20" spans="1:19" ht="14.25" customHeight="1">
      <c r="A20" s="3180" t="s">
        <v>184</v>
      </c>
      <c r="B20" s="3181" t="s">
        <v>201</v>
      </c>
      <c r="C20" s="3180">
        <v>27050</v>
      </c>
      <c r="D20" s="3180">
        <v>29010</v>
      </c>
      <c r="E20" s="3180">
        <v>28910</v>
      </c>
      <c r="F20" s="3180"/>
      <c r="G20" s="3180">
        <v>21110</v>
      </c>
      <c r="J20" s="3181" t="s">
        <v>259</v>
      </c>
      <c r="K20" s="3181" t="s">
        <v>260</v>
      </c>
      <c r="L20" s="3180" t="s">
        <v>261</v>
      </c>
      <c r="M20" s="3180" t="s">
        <v>262</v>
      </c>
      <c r="N20" s="3180" t="s">
        <v>263</v>
      </c>
      <c r="O20" s="3180" t="s">
        <v>2918</v>
      </c>
      <c r="P20" s="3180" t="s">
        <v>2919</v>
      </c>
      <c r="Q20" s="3180" t="s">
        <v>290</v>
      </c>
      <c r="R20" s="3180" t="s">
        <v>2920</v>
      </c>
      <c r="S20" s="3180" t="s">
        <v>277</v>
      </c>
    </row>
    <row r="21" spans="1:19" ht="14.25" customHeight="1" thickBot="1">
      <c r="A21" s="3180" t="s">
        <v>184</v>
      </c>
      <c r="B21" s="3181" t="s">
        <v>208</v>
      </c>
      <c r="C21" s="3180">
        <v>32370</v>
      </c>
      <c r="D21" s="3180">
        <v>26730</v>
      </c>
      <c r="E21" s="3180">
        <v>26640</v>
      </c>
      <c r="F21" s="3180"/>
      <c r="G21" s="3180">
        <v>19440</v>
      </c>
      <c r="J21" s="3187" t="s">
        <v>2921</v>
      </c>
      <c r="K21" s="3181" t="s">
        <v>267</v>
      </c>
      <c r="L21" s="3180" t="s">
        <v>268</v>
      </c>
      <c r="M21" s="3180" t="s">
        <v>269</v>
      </c>
      <c r="N21" s="3180" t="s">
        <v>270</v>
      </c>
      <c r="O21" s="3180" t="s">
        <v>264</v>
      </c>
      <c r="P21" s="3180" t="s">
        <v>283</v>
      </c>
      <c r="Q21" s="3180" t="s">
        <v>293</v>
      </c>
      <c r="R21" s="3180" t="s">
        <v>2922</v>
      </c>
      <c r="S21" s="3187" t="s">
        <v>2923</v>
      </c>
    </row>
    <row r="22" spans="1:19" ht="14.25" customHeight="1">
      <c r="A22" s="3180" t="s">
        <v>184</v>
      </c>
      <c r="B22" s="3181" t="s">
        <v>2903</v>
      </c>
      <c r="C22" s="3180">
        <v>29830</v>
      </c>
      <c r="D22" s="3180">
        <v>27600</v>
      </c>
      <c r="E22" s="3180">
        <v>28150</v>
      </c>
      <c r="F22" s="3180"/>
      <c r="G22" s="3180">
        <v>20080</v>
      </c>
      <c r="K22" s="3181" t="s">
        <v>2924</v>
      </c>
      <c r="L22" s="3180" t="s">
        <v>272</v>
      </c>
      <c r="M22" s="3180" t="s">
        <v>273</v>
      </c>
      <c r="N22" s="3180" t="s">
        <v>274</v>
      </c>
      <c r="O22" s="3180" t="s">
        <v>2925</v>
      </c>
      <c r="P22" s="3180" t="s">
        <v>286</v>
      </c>
      <c r="Q22" s="3180" t="s">
        <v>295</v>
      </c>
      <c r="R22" s="3180" t="s">
        <v>243</v>
      </c>
    </row>
    <row r="23" spans="1:19" ht="14.25" customHeight="1">
      <c r="A23" s="3180" t="s">
        <v>184</v>
      </c>
      <c r="B23" s="3181" t="s">
        <v>222</v>
      </c>
      <c r="C23" s="3180">
        <v>27800</v>
      </c>
      <c r="D23" s="3180">
        <v>26900</v>
      </c>
      <c r="E23" s="3180">
        <v>27170</v>
      </c>
      <c r="F23" s="3180"/>
      <c r="G23" s="3180">
        <v>19570</v>
      </c>
      <c r="K23" s="3181" t="s">
        <v>2926</v>
      </c>
      <c r="L23" s="3180" t="s">
        <v>278</v>
      </c>
      <c r="M23" s="3180" t="s">
        <v>279</v>
      </c>
      <c r="N23" s="3180" t="s">
        <v>2927</v>
      </c>
      <c r="O23" s="3180" t="s">
        <v>2928</v>
      </c>
      <c r="P23" s="3180" t="s">
        <v>289</v>
      </c>
      <c r="Q23" s="3180" t="s">
        <v>298</v>
      </c>
      <c r="R23" s="3180" t="s">
        <v>2929</v>
      </c>
    </row>
    <row r="24" spans="1:19" ht="14.25" customHeight="1">
      <c r="A24" s="3180" t="s">
        <v>184</v>
      </c>
      <c r="B24" s="3181" t="s">
        <v>230</v>
      </c>
      <c r="C24" s="3180">
        <v>27930</v>
      </c>
      <c r="D24" s="3180">
        <v>32260</v>
      </c>
      <c r="E24" s="3180">
        <v>32120</v>
      </c>
      <c r="F24" s="3180"/>
      <c r="G24" s="3180">
        <v>23470</v>
      </c>
      <c r="K24" s="3181" t="s">
        <v>2930</v>
      </c>
      <c r="L24" s="3180" t="s">
        <v>281</v>
      </c>
      <c r="M24" s="3180" t="s">
        <v>282</v>
      </c>
      <c r="N24" s="3180" t="s">
        <v>2931</v>
      </c>
      <c r="O24" s="3180" t="s">
        <v>285</v>
      </c>
      <c r="P24" s="3180" t="s">
        <v>2932</v>
      </c>
      <c r="Q24" s="3189" t="s">
        <v>2933</v>
      </c>
      <c r="R24" s="3180" t="s">
        <v>2934</v>
      </c>
    </row>
    <row r="25" spans="1:19" ht="14.25" customHeight="1">
      <c r="A25" s="3180" t="s">
        <v>184</v>
      </c>
      <c r="B25" s="3181" t="s">
        <v>235</v>
      </c>
      <c r="C25" s="3180">
        <v>32230</v>
      </c>
      <c r="D25" s="3180">
        <v>29640</v>
      </c>
      <c r="E25" s="3180">
        <v>29510</v>
      </c>
      <c r="F25" s="3180"/>
      <c r="G25" s="3180">
        <v>21560</v>
      </c>
      <c r="K25" s="3181" t="s">
        <v>2935</v>
      </c>
      <c r="L25" s="3180" t="s">
        <v>2936</v>
      </c>
      <c r="M25" s="3180" t="s">
        <v>284</v>
      </c>
      <c r="N25" s="3180" t="s">
        <v>292</v>
      </c>
      <c r="O25" s="3180" t="s">
        <v>288</v>
      </c>
      <c r="P25" s="3180" t="s">
        <v>275</v>
      </c>
      <c r="Q25" s="3189" t="s">
        <v>271</v>
      </c>
      <c r="R25" s="3180" t="s">
        <v>2937</v>
      </c>
    </row>
    <row r="26" spans="1:19" ht="14.25" customHeight="1" thickBot="1">
      <c r="A26" s="3180" t="s">
        <v>184</v>
      </c>
      <c r="B26" s="3181" t="s">
        <v>244</v>
      </c>
      <c r="C26" s="3180">
        <v>31690</v>
      </c>
      <c r="D26" s="3180">
        <v>27650</v>
      </c>
      <c r="E26" s="3180">
        <v>28200</v>
      </c>
      <c r="F26" s="3180"/>
      <c r="G26" s="3180">
        <v>20110</v>
      </c>
      <c r="K26" s="3186" t="s">
        <v>2938</v>
      </c>
      <c r="L26" s="3180" t="s">
        <v>2939</v>
      </c>
      <c r="M26" s="3180" t="s">
        <v>287</v>
      </c>
      <c r="N26" s="3180" t="s">
        <v>294</v>
      </c>
      <c r="O26" s="3180" t="s">
        <v>2940</v>
      </c>
      <c r="P26" s="3180" t="s">
        <v>2941</v>
      </c>
      <c r="Q26" s="3189" t="s">
        <v>276</v>
      </c>
      <c r="R26" s="3180" t="s">
        <v>2942</v>
      </c>
    </row>
    <row r="27" spans="1:19" ht="14.25" customHeight="1">
      <c r="A27" s="3180" t="s">
        <v>184</v>
      </c>
      <c r="B27" s="3181" t="s">
        <v>251</v>
      </c>
      <c r="C27" s="3180">
        <v>29610</v>
      </c>
      <c r="D27" s="3180">
        <v>27770</v>
      </c>
      <c r="E27" s="3180">
        <v>28300</v>
      </c>
      <c r="F27" s="3180"/>
      <c r="G27" s="3180">
        <v>20210</v>
      </c>
      <c r="L27" s="3180" t="s">
        <v>2943</v>
      </c>
      <c r="M27" s="3180" t="s">
        <v>291</v>
      </c>
      <c r="N27" s="3180" t="s">
        <v>297</v>
      </c>
      <c r="O27" s="3180" t="s">
        <v>2944</v>
      </c>
      <c r="P27" s="3180" t="s">
        <v>2945</v>
      </c>
      <c r="Q27" s="3180" t="s">
        <v>2946</v>
      </c>
      <c r="R27" s="3180" t="s">
        <v>2947</v>
      </c>
    </row>
    <row r="28" spans="1:19" ht="14.25" customHeight="1">
      <c r="A28" s="3180" t="s">
        <v>184</v>
      </c>
      <c r="B28" s="3181" t="s">
        <v>259</v>
      </c>
      <c r="C28" s="3180"/>
      <c r="D28" s="3180">
        <v>31520</v>
      </c>
      <c r="E28" s="3180">
        <v>31410</v>
      </c>
      <c r="F28" s="3180"/>
      <c r="G28" s="3180">
        <v>22940</v>
      </c>
      <c r="L28" s="3180" t="s">
        <v>2948</v>
      </c>
      <c r="M28" s="3180" t="s">
        <v>2949</v>
      </c>
      <c r="N28" s="3180" t="s">
        <v>2950</v>
      </c>
      <c r="O28" s="3180" t="s">
        <v>2951</v>
      </c>
      <c r="P28" s="3180" t="s">
        <v>2952</v>
      </c>
      <c r="Q28" s="3180" t="s">
        <v>2953</v>
      </c>
      <c r="R28" s="3180" t="s">
        <v>2954</v>
      </c>
    </row>
    <row r="29" spans="1:19" ht="14.25" customHeight="1" thickBot="1">
      <c r="A29" s="3188" t="s">
        <v>184</v>
      </c>
      <c r="B29" s="3190" t="s">
        <v>2921</v>
      </c>
      <c r="C29" s="3191"/>
      <c r="D29" s="3191">
        <v>29460</v>
      </c>
      <c r="E29" s="3191">
        <v>28640</v>
      </c>
      <c r="F29" s="3191"/>
      <c r="G29" s="3191">
        <v>21430</v>
      </c>
      <c r="L29" s="3180" t="s">
        <v>2955</v>
      </c>
      <c r="M29" s="3180" t="s">
        <v>2956</v>
      </c>
      <c r="N29" s="3180" t="s">
        <v>2957</v>
      </c>
      <c r="O29" s="3180" t="s">
        <v>2958</v>
      </c>
      <c r="P29" s="3180" t="s">
        <v>2959</v>
      </c>
      <c r="Q29" s="3180" t="s">
        <v>2960</v>
      </c>
      <c r="R29" s="3180" t="s">
        <v>280</v>
      </c>
    </row>
    <row r="30" spans="1:19" ht="14.25" customHeight="1">
      <c r="A30" s="3185" t="s">
        <v>296</v>
      </c>
      <c r="B30" s="3176" t="s">
        <v>2854</v>
      </c>
      <c r="C30" s="3176">
        <v>26890</v>
      </c>
      <c r="D30" s="3176">
        <v>26770</v>
      </c>
      <c r="E30" s="3176">
        <v>25700</v>
      </c>
      <c r="F30" s="3176">
        <v>8180</v>
      </c>
      <c r="G30" s="3192">
        <v>18740</v>
      </c>
      <c r="L30" s="3180" t="s">
        <v>2961</v>
      </c>
      <c r="M30" s="3180" t="s">
        <v>2962</v>
      </c>
      <c r="N30" s="3180" t="s">
        <v>2963</v>
      </c>
      <c r="O30" s="3180" t="s">
        <v>2964</v>
      </c>
      <c r="P30" s="3180" t="s">
        <v>2965</v>
      </c>
      <c r="Q30" s="3180" t="s">
        <v>2966</v>
      </c>
      <c r="R30" s="3180" t="s">
        <v>2967</v>
      </c>
    </row>
    <row r="31" spans="1:19" ht="14.25" customHeight="1">
      <c r="A31" s="3180" t="s">
        <v>296</v>
      </c>
      <c r="B31" s="3181" t="s">
        <v>129</v>
      </c>
      <c r="C31" s="3180">
        <v>24550</v>
      </c>
      <c r="D31" s="3180">
        <v>23990</v>
      </c>
      <c r="E31" s="3180">
        <v>22930</v>
      </c>
      <c r="F31" s="3180">
        <v>7470</v>
      </c>
      <c r="G31" s="3193">
        <v>16790</v>
      </c>
      <c r="L31" s="3180" t="s">
        <v>2968</v>
      </c>
      <c r="M31" s="3180" t="s">
        <v>2969</v>
      </c>
      <c r="N31" s="3180" t="s">
        <v>2970</v>
      </c>
      <c r="O31" s="3180" t="s">
        <v>2971</v>
      </c>
      <c r="P31" s="3180" t="s">
        <v>2972</v>
      </c>
      <c r="Q31" s="3180" t="s">
        <v>2973</v>
      </c>
      <c r="R31" s="3180" t="s">
        <v>2974</v>
      </c>
    </row>
    <row r="32" spans="1:19" ht="14.25" customHeight="1" thickBot="1">
      <c r="A32" s="3180" t="s">
        <v>296</v>
      </c>
      <c r="B32" s="3181" t="s">
        <v>138</v>
      </c>
      <c r="C32" s="3180">
        <v>27210</v>
      </c>
      <c r="D32" s="3180">
        <v>23240</v>
      </c>
      <c r="E32" s="3180">
        <v>23260</v>
      </c>
      <c r="F32" s="3180">
        <v>7130</v>
      </c>
      <c r="G32" s="3193">
        <v>16270</v>
      </c>
      <c r="L32" s="3180" t="s">
        <v>2975</v>
      </c>
      <c r="M32" s="3180" t="s">
        <v>2976</v>
      </c>
      <c r="N32" s="3180" t="s">
        <v>300</v>
      </c>
      <c r="O32" s="3180" t="s">
        <v>2977</v>
      </c>
      <c r="P32" s="3180" t="s">
        <v>299</v>
      </c>
      <c r="Q32" s="3180" t="s">
        <v>2978</v>
      </c>
      <c r="R32" s="3187" t="s">
        <v>2979</v>
      </c>
    </row>
    <row r="33" spans="1:17" ht="14.25" customHeight="1" thickBot="1">
      <c r="A33" s="3180" t="s">
        <v>296</v>
      </c>
      <c r="B33" s="3181" t="s">
        <v>147</v>
      </c>
      <c r="C33" s="3180">
        <v>27300</v>
      </c>
      <c r="D33" s="3180">
        <v>22980</v>
      </c>
      <c r="E33" s="3180">
        <v>24260</v>
      </c>
      <c r="F33" s="3180">
        <v>5860</v>
      </c>
      <c r="G33" s="3193">
        <v>16090</v>
      </c>
      <c r="L33" s="3187" t="s">
        <v>2980</v>
      </c>
      <c r="M33" s="3180" t="s">
        <v>2981</v>
      </c>
      <c r="N33" s="3180" t="s">
        <v>301</v>
      </c>
      <c r="O33" s="3180" t="s">
        <v>2982</v>
      </c>
      <c r="P33" s="3180" t="s">
        <v>2983</v>
      </c>
      <c r="Q33" s="3180" t="s">
        <v>2984</v>
      </c>
    </row>
    <row r="34" spans="1:17" ht="14.25" customHeight="1">
      <c r="A34" s="3180" t="s">
        <v>296</v>
      </c>
      <c r="B34" s="3181" t="s">
        <v>156</v>
      </c>
      <c r="C34" s="3180">
        <v>23090</v>
      </c>
      <c r="D34" s="3180">
        <v>23390</v>
      </c>
      <c r="E34" s="3180">
        <v>23510</v>
      </c>
      <c r="F34" s="3180">
        <v>6700</v>
      </c>
      <c r="G34" s="3193">
        <v>16370</v>
      </c>
      <c r="M34" s="3180" t="s">
        <v>2985</v>
      </c>
      <c r="N34" s="3180" t="s">
        <v>302</v>
      </c>
      <c r="O34" s="3180" t="s">
        <v>2986</v>
      </c>
      <c r="P34" s="3180" t="s">
        <v>2987</v>
      </c>
      <c r="Q34" s="3180" t="s">
        <v>2988</v>
      </c>
    </row>
    <row r="35" spans="1:17" ht="14.25" customHeight="1">
      <c r="A35" s="3180" t="s">
        <v>296</v>
      </c>
      <c r="B35" s="3181" t="s">
        <v>163</v>
      </c>
      <c r="C35" s="3180">
        <v>27270</v>
      </c>
      <c r="D35" s="3180">
        <v>24270</v>
      </c>
      <c r="E35" s="3180">
        <v>24950</v>
      </c>
      <c r="F35" s="3180">
        <v>6600</v>
      </c>
      <c r="G35" s="3193">
        <v>16990</v>
      </c>
      <c r="M35" s="3180" t="s">
        <v>2989</v>
      </c>
      <c r="N35" s="3180" t="s">
        <v>2990</v>
      </c>
      <c r="O35" s="3180" t="s">
        <v>2991</v>
      </c>
      <c r="P35" s="3180" t="s">
        <v>2992</v>
      </c>
      <c r="Q35" s="3180" t="s">
        <v>2993</v>
      </c>
    </row>
    <row r="36" spans="1:17" ht="14.25" customHeight="1">
      <c r="A36" s="3180" t="s">
        <v>296</v>
      </c>
      <c r="B36" s="3181" t="s">
        <v>169</v>
      </c>
      <c r="C36" s="3180">
        <v>23490</v>
      </c>
      <c r="D36" s="3180">
        <v>23020</v>
      </c>
      <c r="E36" s="3180">
        <v>25230</v>
      </c>
      <c r="F36" s="3180">
        <v>6780</v>
      </c>
      <c r="G36" s="3193">
        <v>16120</v>
      </c>
      <c r="M36" s="3180" t="s">
        <v>2994</v>
      </c>
      <c r="N36" s="3180" t="s">
        <v>2995</v>
      </c>
      <c r="O36" s="3180" t="s">
        <v>2996</v>
      </c>
      <c r="P36" s="3180" t="s">
        <v>2997</v>
      </c>
      <c r="Q36" s="3180" t="s">
        <v>2998</v>
      </c>
    </row>
    <row r="37" spans="1:17" ht="14.25" customHeight="1">
      <c r="A37" s="3180" t="s">
        <v>296</v>
      </c>
      <c r="B37" s="3181" t="s">
        <v>176</v>
      </c>
      <c r="C37" s="3180">
        <v>24380</v>
      </c>
      <c r="D37" s="3180">
        <v>22240</v>
      </c>
      <c r="E37" s="3180">
        <v>25980</v>
      </c>
      <c r="F37" s="3180">
        <v>8160</v>
      </c>
      <c r="G37" s="3193">
        <v>15570</v>
      </c>
      <c r="M37" s="3180" t="s">
        <v>2999</v>
      </c>
      <c r="N37" s="3180" t="s">
        <v>3000</v>
      </c>
      <c r="O37" s="3180" t="s">
        <v>3001</v>
      </c>
      <c r="P37" s="3180" t="s">
        <v>3002</v>
      </c>
      <c r="Q37" s="3180" t="s">
        <v>3003</v>
      </c>
    </row>
    <row r="38" spans="1:17" ht="14.25" customHeight="1">
      <c r="A38" s="3180" t="s">
        <v>296</v>
      </c>
      <c r="B38" s="3181" t="s">
        <v>186</v>
      </c>
      <c r="C38" s="3180">
        <v>23120</v>
      </c>
      <c r="D38" s="3180">
        <v>24630</v>
      </c>
      <c r="E38" s="3180">
        <v>25030</v>
      </c>
      <c r="F38" s="3180">
        <v>7710</v>
      </c>
      <c r="G38" s="3193">
        <v>17240</v>
      </c>
      <c r="M38" s="3180" t="s">
        <v>3004</v>
      </c>
      <c r="N38" s="3180" t="s">
        <v>3005</v>
      </c>
      <c r="O38" s="3180" t="s">
        <v>3006</v>
      </c>
      <c r="P38" s="3180" t="s">
        <v>3007</v>
      </c>
      <c r="Q38" s="3180" t="s">
        <v>3008</v>
      </c>
    </row>
    <row r="39" spans="1:17" ht="14.25" customHeight="1">
      <c r="A39" s="3180" t="s">
        <v>296</v>
      </c>
      <c r="B39" s="3181" t="s">
        <v>195</v>
      </c>
      <c r="C39" s="3180">
        <v>22330</v>
      </c>
      <c r="D39" s="3180">
        <v>21140</v>
      </c>
      <c r="E39" s="3180">
        <v>23970</v>
      </c>
      <c r="F39" s="3180">
        <v>7940</v>
      </c>
      <c r="G39" s="3193">
        <v>14790</v>
      </c>
      <c r="M39" s="3180" t="s">
        <v>3009</v>
      </c>
      <c r="N39" s="3180" t="s">
        <v>3010</v>
      </c>
      <c r="O39" s="3180" t="s">
        <v>3011</v>
      </c>
      <c r="P39" s="3180" t="s">
        <v>3012</v>
      </c>
      <c r="Q39" s="3180" t="s">
        <v>3013</v>
      </c>
    </row>
    <row r="40" spans="1:17" ht="14.25" customHeight="1">
      <c r="A40" s="3180" t="s">
        <v>296</v>
      </c>
      <c r="B40" s="3181" t="s">
        <v>202</v>
      </c>
      <c r="C40" s="3180">
        <v>24740</v>
      </c>
      <c r="D40" s="3180">
        <v>24690</v>
      </c>
      <c r="E40" s="3180">
        <v>22610</v>
      </c>
      <c r="F40" s="3180"/>
      <c r="G40" s="3193">
        <v>17280</v>
      </c>
      <c r="M40" s="3180" t="s">
        <v>3014</v>
      </c>
      <c r="N40" s="3180" t="s">
        <v>3015</v>
      </c>
      <c r="O40" s="3180" t="s">
        <v>3016</v>
      </c>
      <c r="P40" s="3180" t="s">
        <v>3017</v>
      </c>
      <c r="Q40" s="3180" t="s">
        <v>3018</v>
      </c>
    </row>
    <row r="41" spans="1:17" ht="14.25" customHeight="1" thickBot="1">
      <c r="A41" s="3180" t="s">
        <v>296</v>
      </c>
      <c r="B41" s="3181" t="s">
        <v>209</v>
      </c>
      <c r="C41" s="3180">
        <v>21220</v>
      </c>
      <c r="D41" s="3180">
        <v>21120</v>
      </c>
      <c r="E41" s="3180">
        <v>22590</v>
      </c>
      <c r="F41" s="3180"/>
      <c r="G41" s="3193">
        <v>14780</v>
      </c>
      <c r="M41" s="3187" t="s">
        <v>3019</v>
      </c>
      <c r="N41" s="3180" t="s">
        <v>3020</v>
      </c>
      <c r="O41" s="3180" t="s">
        <v>3021</v>
      </c>
      <c r="P41" s="3180" t="s">
        <v>3022</v>
      </c>
      <c r="Q41" s="3180" t="s">
        <v>3023</v>
      </c>
    </row>
    <row r="42" spans="1:17" ht="14.25" customHeight="1">
      <c r="A42" s="3180" t="s">
        <v>296</v>
      </c>
      <c r="B42" s="3181" t="s">
        <v>215</v>
      </c>
      <c r="C42" s="3180">
        <v>24800</v>
      </c>
      <c r="D42" s="3180">
        <v>22280</v>
      </c>
      <c r="E42" s="3180">
        <v>24350</v>
      </c>
      <c r="F42" s="3180"/>
      <c r="G42" s="3193">
        <v>15590</v>
      </c>
      <c r="N42" s="3180" t="s">
        <v>3024</v>
      </c>
      <c r="O42" s="3180" t="s">
        <v>3025</v>
      </c>
      <c r="P42" s="3180" t="s">
        <v>3026</v>
      </c>
      <c r="Q42" s="3180" t="s">
        <v>3027</v>
      </c>
    </row>
    <row r="43" spans="1:17" ht="14.25" customHeight="1">
      <c r="A43" s="3180" t="s">
        <v>3028</v>
      </c>
      <c r="B43" s="3181" t="s">
        <v>223</v>
      </c>
      <c r="C43" s="3180">
        <v>21210</v>
      </c>
      <c r="D43" s="3180">
        <v>21160</v>
      </c>
      <c r="E43" s="3180">
        <v>22650</v>
      </c>
      <c r="F43" s="3180"/>
      <c r="G43" s="3193">
        <v>14800</v>
      </c>
      <c r="N43" s="3180" t="s">
        <v>3029</v>
      </c>
      <c r="O43" s="3180" t="s">
        <v>3030</v>
      </c>
      <c r="P43" s="3180" t="s">
        <v>3031</v>
      </c>
      <c r="Q43" s="3180" t="s">
        <v>3032</v>
      </c>
    </row>
    <row r="44" spans="1:17" ht="14.25" customHeight="1" thickBot="1">
      <c r="A44" s="3180" t="s">
        <v>296</v>
      </c>
      <c r="B44" s="3181" t="s">
        <v>231</v>
      </c>
      <c r="C44" s="3180">
        <v>22370</v>
      </c>
      <c r="D44" s="3180">
        <v>23140</v>
      </c>
      <c r="E44" s="3180">
        <v>25090</v>
      </c>
      <c r="F44" s="3180"/>
      <c r="G44" s="3193">
        <v>16190</v>
      </c>
      <c r="N44" s="3180" t="s">
        <v>3033</v>
      </c>
      <c r="O44" s="3180" t="s">
        <v>3034</v>
      </c>
      <c r="P44" s="3187" t="s">
        <v>3035</v>
      </c>
      <c r="Q44" s="3180" t="s">
        <v>3036</v>
      </c>
    </row>
    <row r="45" spans="1:17" ht="14.25" customHeight="1" thickBot="1">
      <c r="A45" s="3180" t="s">
        <v>296</v>
      </c>
      <c r="B45" s="3181" t="s">
        <v>236</v>
      </c>
      <c r="C45" s="3180">
        <v>21240</v>
      </c>
      <c r="D45" s="3180">
        <v>27050</v>
      </c>
      <c r="E45" s="3180">
        <v>28000</v>
      </c>
      <c r="F45" s="3180"/>
      <c r="G45" s="3193">
        <v>18940</v>
      </c>
      <c r="N45" s="3180" t="s">
        <v>3037</v>
      </c>
      <c r="O45" s="3187" t="s">
        <v>3038</v>
      </c>
      <c r="Q45" s="3180" t="s">
        <v>3039</v>
      </c>
    </row>
    <row r="46" spans="1:17" ht="14.25" customHeight="1">
      <c r="A46" s="3180" t="s">
        <v>296</v>
      </c>
      <c r="B46" s="3181" t="s">
        <v>245</v>
      </c>
      <c r="C46" s="3180">
        <v>23240</v>
      </c>
      <c r="D46" s="3180">
        <v>23000</v>
      </c>
      <c r="E46" s="3180">
        <v>24980</v>
      </c>
      <c r="F46" s="3180"/>
      <c r="G46" s="3193">
        <v>16100</v>
      </c>
      <c r="N46" s="3180" t="s">
        <v>3040</v>
      </c>
      <c r="Q46" s="3180" t="s">
        <v>3041</v>
      </c>
    </row>
    <row r="47" spans="1:17" ht="14.25" customHeight="1">
      <c r="A47" s="3180" t="s">
        <v>296</v>
      </c>
      <c r="B47" s="3181" t="s">
        <v>252</v>
      </c>
      <c r="C47" s="3180">
        <v>27150</v>
      </c>
      <c r="D47" s="3180">
        <v>23310</v>
      </c>
      <c r="E47" s="3180">
        <v>25150</v>
      </c>
      <c r="F47" s="3180"/>
      <c r="G47" s="3193">
        <v>16310</v>
      </c>
      <c r="N47" s="3180" t="s">
        <v>3042</v>
      </c>
      <c r="Q47" s="3180" t="s">
        <v>3043</v>
      </c>
    </row>
    <row r="48" spans="1:17" ht="14.25" customHeight="1">
      <c r="A48" s="3180" t="s">
        <v>296</v>
      </c>
      <c r="B48" s="3181" t="s">
        <v>260</v>
      </c>
      <c r="C48" s="3180">
        <v>23100</v>
      </c>
      <c r="D48" s="3180">
        <v>21110</v>
      </c>
      <c r="E48" s="3180">
        <v>23080</v>
      </c>
      <c r="F48" s="3180"/>
      <c r="G48" s="3193">
        <v>14780</v>
      </c>
      <c r="N48" s="3180" t="s">
        <v>3044</v>
      </c>
      <c r="Q48" s="3180" t="s">
        <v>3045</v>
      </c>
    </row>
    <row r="49" spans="1:17" ht="14.25" customHeight="1">
      <c r="A49" s="3180" t="s">
        <v>296</v>
      </c>
      <c r="B49" s="3181" t="s">
        <v>267</v>
      </c>
      <c r="C49" s="3180">
        <v>23400</v>
      </c>
      <c r="D49" s="3180">
        <v>22920</v>
      </c>
      <c r="E49" s="3180">
        <v>24900</v>
      </c>
      <c r="F49" s="3180"/>
      <c r="G49" s="3193">
        <v>16040</v>
      </c>
      <c r="N49" s="3180" t="s">
        <v>3046</v>
      </c>
      <c r="Q49" s="3180" t="s">
        <v>3047</v>
      </c>
    </row>
    <row r="50" spans="1:17" ht="14.25" customHeight="1">
      <c r="A50" s="3180" t="s">
        <v>296</v>
      </c>
      <c r="B50" s="3181" t="s">
        <v>2924</v>
      </c>
      <c r="C50" s="3180">
        <v>21200</v>
      </c>
      <c r="D50" s="3180">
        <v>26540</v>
      </c>
      <c r="E50" s="3180">
        <v>23200</v>
      </c>
      <c r="F50" s="3180"/>
      <c r="G50" s="3193">
        <v>18580</v>
      </c>
      <c r="N50" s="3180" t="s">
        <v>3048</v>
      </c>
      <c r="Q50" s="3181" t="s">
        <v>3049</v>
      </c>
    </row>
    <row r="51" spans="1:17" ht="14.25" customHeight="1" thickBot="1">
      <c r="A51" s="3180" t="s">
        <v>296</v>
      </c>
      <c r="B51" s="3181" t="s">
        <v>2926</v>
      </c>
      <c r="C51" s="3180">
        <v>23000</v>
      </c>
      <c r="D51" s="3180">
        <v>23460</v>
      </c>
      <c r="E51" s="3180">
        <v>25290</v>
      </c>
      <c r="F51" s="3180"/>
      <c r="G51" s="3193">
        <v>16420</v>
      </c>
      <c r="N51" s="3180" t="s">
        <v>3050</v>
      </c>
      <c r="Q51" s="3187" t="s">
        <v>3051</v>
      </c>
    </row>
    <row r="52" spans="1:17" ht="14.25" customHeight="1">
      <c r="A52" s="3180" t="s">
        <v>296</v>
      </c>
      <c r="B52" s="3181" t="s">
        <v>2930</v>
      </c>
      <c r="C52" s="3180">
        <v>26660</v>
      </c>
      <c r="D52" s="3180">
        <v>22350</v>
      </c>
      <c r="E52" s="3180">
        <v>22920</v>
      </c>
      <c r="F52" s="3180"/>
      <c r="G52" s="3193">
        <v>15640</v>
      </c>
      <c r="N52" s="3180" t="s">
        <v>3052</v>
      </c>
    </row>
    <row r="53" spans="1:17" ht="14.25" customHeight="1">
      <c r="A53" s="3180" t="s">
        <v>296</v>
      </c>
      <c r="B53" s="3181" t="s">
        <v>2935</v>
      </c>
      <c r="C53" s="3180">
        <v>23580</v>
      </c>
      <c r="D53" s="3180"/>
      <c r="E53" s="3180">
        <v>24280</v>
      </c>
      <c r="F53" s="3180"/>
      <c r="G53" s="3193"/>
      <c r="N53" s="3180" t="s">
        <v>3053</v>
      </c>
    </row>
    <row r="54" spans="1:17" ht="14.25" customHeight="1" thickBot="1">
      <c r="A54" s="3194" t="s">
        <v>296</v>
      </c>
      <c r="B54" s="3186" t="s">
        <v>2938</v>
      </c>
      <c r="C54" s="3187">
        <v>22460</v>
      </c>
      <c r="D54" s="3187"/>
      <c r="E54" s="3187"/>
      <c r="F54" s="3187"/>
      <c r="G54" s="3195"/>
      <c r="N54" s="3180" t="s">
        <v>3054</v>
      </c>
    </row>
    <row r="55" spans="1:17" ht="14.25" customHeight="1">
      <c r="A55" s="3185" t="s">
        <v>110</v>
      </c>
      <c r="B55" s="3176" t="s">
        <v>3055</v>
      </c>
      <c r="C55" s="3180">
        <v>21970</v>
      </c>
      <c r="D55" s="3180">
        <v>20370</v>
      </c>
      <c r="E55" s="3180">
        <v>20180</v>
      </c>
      <c r="F55" s="3180">
        <v>5730</v>
      </c>
      <c r="G55" s="3180">
        <v>13820</v>
      </c>
      <c r="N55" s="3180" t="s">
        <v>3056</v>
      </c>
    </row>
    <row r="56" spans="1:17" ht="14.25" customHeight="1">
      <c r="A56" s="3180" t="s">
        <v>110</v>
      </c>
      <c r="B56" s="3180" t="s">
        <v>130</v>
      </c>
      <c r="C56" s="3180">
        <v>20470</v>
      </c>
      <c r="D56" s="3180">
        <v>20700</v>
      </c>
      <c r="E56" s="3180">
        <v>20380</v>
      </c>
      <c r="F56" s="3180">
        <v>4760</v>
      </c>
      <c r="G56" s="3180">
        <v>14050</v>
      </c>
      <c r="N56" s="3180" t="s">
        <v>3057</v>
      </c>
    </row>
    <row r="57" spans="1:17" ht="14.25" customHeight="1">
      <c r="A57" s="3180" t="s">
        <v>110</v>
      </c>
      <c r="B57" s="3180" t="s">
        <v>139</v>
      </c>
      <c r="C57" s="3180">
        <v>20790</v>
      </c>
      <c r="D57" s="3180">
        <v>21370</v>
      </c>
      <c r="E57" s="3180">
        <v>20890</v>
      </c>
      <c r="F57" s="3180">
        <v>4910</v>
      </c>
      <c r="G57" s="3180">
        <v>14510</v>
      </c>
      <c r="N57" s="3180" t="s">
        <v>3058</v>
      </c>
    </row>
    <row r="58" spans="1:17" ht="14.25" customHeight="1">
      <c r="A58" s="3180" t="s">
        <v>110</v>
      </c>
      <c r="B58" s="3180" t="s">
        <v>148</v>
      </c>
      <c r="C58" s="3180">
        <v>21460</v>
      </c>
      <c r="D58" s="3180">
        <v>20920</v>
      </c>
      <c r="E58" s="3180">
        <v>23410</v>
      </c>
      <c r="F58" s="3180">
        <v>5100</v>
      </c>
      <c r="G58" s="3180">
        <v>14200</v>
      </c>
      <c r="N58" s="3180" t="s">
        <v>3059</v>
      </c>
    </row>
    <row r="59" spans="1:17" ht="14.25" customHeight="1">
      <c r="A59" s="3180" t="s">
        <v>110</v>
      </c>
      <c r="B59" s="3180" t="s">
        <v>157</v>
      </c>
      <c r="C59" s="3180">
        <v>21000</v>
      </c>
      <c r="D59" s="3180">
        <v>21550</v>
      </c>
      <c r="E59" s="3180">
        <v>21150</v>
      </c>
      <c r="F59" s="3180">
        <v>5250</v>
      </c>
      <c r="G59" s="3180">
        <v>14630</v>
      </c>
      <c r="N59" s="3180" t="s">
        <v>3060</v>
      </c>
    </row>
    <row r="60" spans="1:17" ht="14.25" customHeight="1">
      <c r="A60" s="3180" t="s">
        <v>110</v>
      </c>
      <c r="B60" s="3180" t="s">
        <v>164</v>
      </c>
      <c r="C60" s="3180">
        <v>21640</v>
      </c>
      <c r="D60" s="3180">
        <v>21260</v>
      </c>
      <c r="E60" s="3180">
        <v>24040</v>
      </c>
      <c r="F60" s="3180">
        <v>4470</v>
      </c>
      <c r="G60" s="3180">
        <v>14430</v>
      </c>
      <c r="N60" s="3180" t="s">
        <v>3061</v>
      </c>
    </row>
    <row r="61" spans="1:17" ht="14.25" customHeight="1">
      <c r="A61" s="3180" t="s">
        <v>110</v>
      </c>
      <c r="B61" s="3180" t="s">
        <v>170</v>
      </c>
      <c r="C61" s="3180">
        <v>21330</v>
      </c>
      <c r="D61" s="3180">
        <v>18640</v>
      </c>
      <c r="E61" s="3180">
        <v>21190</v>
      </c>
      <c r="F61" s="3180">
        <v>4180</v>
      </c>
      <c r="G61" s="3180">
        <v>12650</v>
      </c>
      <c r="N61" s="3180" t="s">
        <v>3062</v>
      </c>
    </row>
    <row r="62" spans="1:17" ht="14.25" customHeight="1">
      <c r="A62" s="3180" t="s">
        <v>110</v>
      </c>
      <c r="B62" s="3180" t="s">
        <v>177</v>
      </c>
      <c r="C62" s="3180">
        <v>18710</v>
      </c>
      <c r="D62" s="3180">
        <v>19400</v>
      </c>
      <c r="E62" s="3180">
        <v>23750</v>
      </c>
      <c r="F62" s="3180">
        <v>4860</v>
      </c>
      <c r="G62" s="3180">
        <v>13170</v>
      </c>
      <c r="N62" s="3180" t="s">
        <v>3063</v>
      </c>
    </row>
    <row r="63" spans="1:17" ht="14.25" customHeight="1">
      <c r="A63" s="3180" t="s">
        <v>110</v>
      </c>
      <c r="B63" s="3180" t="s">
        <v>187</v>
      </c>
      <c r="C63" s="3180">
        <v>19480</v>
      </c>
      <c r="D63" s="3180">
        <v>16830</v>
      </c>
      <c r="E63" s="3180">
        <v>21590</v>
      </c>
      <c r="F63" s="3180">
        <v>4560</v>
      </c>
      <c r="G63" s="3180">
        <v>11420</v>
      </c>
      <c r="N63" s="3180" t="s">
        <v>3064</v>
      </c>
    </row>
    <row r="64" spans="1:17" ht="14.25" customHeight="1" thickBot="1">
      <c r="A64" s="3180" t="s">
        <v>110</v>
      </c>
      <c r="B64" s="3180" t="s">
        <v>196</v>
      </c>
      <c r="C64" s="3180">
        <v>16920</v>
      </c>
      <c r="D64" s="3180">
        <v>19190</v>
      </c>
      <c r="E64" s="3180">
        <v>22200</v>
      </c>
      <c r="F64" s="3180">
        <v>4390</v>
      </c>
      <c r="G64" s="3180">
        <v>13030</v>
      </c>
      <c r="N64" s="3187" t="s">
        <v>3065</v>
      </c>
    </row>
    <row r="65" spans="1:7" s="3169" customFormat="1" ht="14.25" customHeight="1">
      <c r="A65" s="3180" t="s">
        <v>110</v>
      </c>
      <c r="B65" s="3180" t="s">
        <v>203</v>
      </c>
      <c r="C65" s="3180">
        <v>19290</v>
      </c>
      <c r="D65" s="3180">
        <v>17020</v>
      </c>
      <c r="E65" s="3180">
        <v>19880</v>
      </c>
      <c r="F65" s="3180">
        <v>4070</v>
      </c>
      <c r="G65" s="3180">
        <v>11550</v>
      </c>
    </row>
    <row r="66" spans="1:7" s="3169" customFormat="1" ht="14.25" customHeight="1">
      <c r="A66" s="3180" t="s">
        <v>110</v>
      </c>
      <c r="B66" s="3180" t="s">
        <v>210</v>
      </c>
      <c r="C66" s="3180">
        <v>17090</v>
      </c>
      <c r="D66" s="3180">
        <v>18340</v>
      </c>
      <c r="E66" s="3180">
        <v>21830</v>
      </c>
      <c r="F66" s="3180">
        <v>4690</v>
      </c>
      <c r="G66" s="3180">
        <v>12450</v>
      </c>
    </row>
    <row r="67" spans="1:7" s="3169" customFormat="1" ht="14.25" customHeight="1">
      <c r="A67" s="3180" t="s">
        <v>110</v>
      </c>
      <c r="B67" s="3180" t="s">
        <v>216</v>
      </c>
      <c r="C67" s="3180">
        <v>18420</v>
      </c>
      <c r="D67" s="3180">
        <v>16360</v>
      </c>
      <c r="E67" s="3180">
        <v>20020</v>
      </c>
      <c r="F67" s="3180">
        <v>5150</v>
      </c>
      <c r="G67" s="3180">
        <v>11110</v>
      </c>
    </row>
    <row r="68" spans="1:7" s="3169" customFormat="1" ht="14.25" customHeight="1">
      <c r="A68" s="3180" t="s">
        <v>110</v>
      </c>
      <c r="B68" s="3180" t="s">
        <v>224</v>
      </c>
      <c r="C68" s="3180">
        <v>16450</v>
      </c>
      <c r="D68" s="3180">
        <v>18430</v>
      </c>
      <c r="E68" s="3180">
        <v>21010</v>
      </c>
      <c r="F68" s="3180">
        <v>4720</v>
      </c>
      <c r="G68" s="3180">
        <v>12510</v>
      </c>
    </row>
    <row r="69" spans="1:7" s="3169" customFormat="1" ht="14.25" customHeight="1">
      <c r="A69" s="3180" t="s">
        <v>110</v>
      </c>
      <c r="B69" s="3180" t="s">
        <v>232</v>
      </c>
      <c r="C69" s="3180">
        <v>18510</v>
      </c>
      <c r="D69" s="3180">
        <v>16300</v>
      </c>
      <c r="E69" s="3180">
        <v>18830</v>
      </c>
      <c r="F69" s="3180">
        <v>5400</v>
      </c>
      <c r="G69" s="3180">
        <v>11070</v>
      </c>
    </row>
    <row r="70" spans="1:7" s="3169" customFormat="1" ht="14.25" customHeight="1">
      <c r="A70" s="3180" t="s">
        <v>110</v>
      </c>
      <c r="B70" s="3180" t="s">
        <v>237</v>
      </c>
      <c r="C70" s="3180">
        <v>16370</v>
      </c>
      <c r="D70" s="3180">
        <v>18620</v>
      </c>
      <c r="E70" s="3180">
        <v>21100</v>
      </c>
      <c r="F70" s="3180">
        <v>5700</v>
      </c>
      <c r="G70" s="3180">
        <v>12640</v>
      </c>
    </row>
    <row r="71" spans="1:7" s="3169" customFormat="1" ht="14.25" customHeight="1">
      <c r="A71" s="3180" t="s">
        <v>110</v>
      </c>
      <c r="B71" s="3180" t="s">
        <v>246</v>
      </c>
      <c r="C71" s="3180">
        <v>18700</v>
      </c>
      <c r="D71" s="3180">
        <v>16290</v>
      </c>
      <c r="E71" s="3180">
        <v>18760</v>
      </c>
      <c r="F71" s="3180">
        <v>4780</v>
      </c>
      <c r="G71" s="3180">
        <v>11050</v>
      </c>
    </row>
    <row r="72" spans="1:7" s="3169" customFormat="1" ht="14.25" customHeight="1">
      <c r="A72" s="3180" t="s">
        <v>110</v>
      </c>
      <c r="B72" s="3180" t="s">
        <v>253</v>
      </c>
      <c r="C72" s="3180">
        <v>16340</v>
      </c>
      <c r="D72" s="3180">
        <v>17520</v>
      </c>
      <c r="E72" s="3180">
        <v>21170</v>
      </c>
      <c r="F72" s="3180"/>
      <c r="G72" s="3180">
        <v>11900</v>
      </c>
    </row>
    <row r="73" spans="1:7" s="3169" customFormat="1" ht="14.25" customHeight="1">
      <c r="A73" s="3180" t="s">
        <v>110</v>
      </c>
      <c r="B73" s="3180" t="s">
        <v>261</v>
      </c>
      <c r="C73" s="3180">
        <v>17610</v>
      </c>
      <c r="D73" s="3180">
        <v>18520</v>
      </c>
      <c r="E73" s="3180">
        <v>18720</v>
      </c>
      <c r="F73" s="3180"/>
      <c r="G73" s="3180">
        <v>12570</v>
      </c>
    </row>
    <row r="74" spans="1:7" s="3169" customFormat="1" ht="14.25" customHeight="1">
      <c r="A74" s="3180" t="s">
        <v>110</v>
      </c>
      <c r="B74" s="3180" t="s">
        <v>268</v>
      </c>
      <c r="C74" s="3180">
        <v>18600</v>
      </c>
      <c r="D74" s="3180">
        <v>16480</v>
      </c>
      <c r="E74" s="3180">
        <v>20100</v>
      </c>
      <c r="F74" s="3180"/>
      <c r="G74" s="3180">
        <v>11190</v>
      </c>
    </row>
    <row r="75" spans="1:7" s="3169" customFormat="1" ht="14.25" customHeight="1">
      <c r="A75" s="3180" t="s">
        <v>110</v>
      </c>
      <c r="B75" s="3180" t="s">
        <v>272</v>
      </c>
      <c r="C75" s="3180">
        <v>16570</v>
      </c>
      <c r="D75" s="3180">
        <v>17530</v>
      </c>
      <c r="E75" s="3180">
        <v>21030</v>
      </c>
      <c r="F75" s="3180"/>
      <c r="G75" s="3180">
        <v>11900</v>
      </c>
    </row>
    <row r="76" spans="1:7" s="3169" customFormat="1" ht="14.25" customHeight="1">
      <c r="A76" s="3180" t="s">
        <v>110</v>
      </c>
      <c r="B76" s="3180" t="s">
        <v>278</v>
      </c>
      <c r="C76" s="3180">
        <v>17610</v>
      </c>
      <c r="D76" s="3180">
        <v>20800</v>
      </c>
      <c r="E76" s="3180">
        <v>18920</v>
      </c>
      <c r="F76" s="3180"/>
      <c r="G76" s="3180">
        <v>14120</v>
      </c>
    </row>
    <row r="77" spans="1:7" s="3169" customFormat="1" ht="14.25" customHeight="1">
      <c r="A77" s="3180" t="s">
        <v>110</v>
      </c>
      <c r="B77" s="3180" t="s">
        <v>281</v>
      </c>
      <c r="C77" s="3180">
        <v>20890</v>
      </c>
      <c r="D77" s="3180">
        <v>19740</v>
      </c>
      <c r="E77" s="3180">
        <v>20110</v>
      </c>
      <c r="F77" s="3180"/>
      <c r="G77" s="3180">
        <v>13400</v>
      </c>
    </row>
    <row r="78" spans="1:7" s="3169" customFormat="1" ht="14.25" customHeight="1">
      <c r="A78" s="3180" t="s">
        <v>110</v>
      </c>
      <c r="B78" s="3180" t="s">
        <v>2936</v>
      </c>
      <c r="C78" s="3180">
        <v>19820</v>
      </c>
      <c r="D78" s="3180">
        <v>19780</v>
      </c>
      <c r="E78" s="3180">
        <v>18560</v>
      </c>
      <c r="F78" s="3180"/>
      <c r="G78" s="3180">
        <v>13430</v>
      </c>
    </row>
    <row r="79" spans="1:7" s="3169" customFormat="1" ht="14.25" customHeight="1">
      <c r="A79" s="3180" t="s">
        <v>110</v>
      </c>
      <c r="B79" s="3180" t="s">
        <v>2939</v>
      </c>
      <c r="C79" s="3180">
        <v>21660</v>
      </c>
      <c r="D79" s="3180">
        <v>18000</v>
      </c>
      <c r="E79" s="3180">
        <v>22570</v>
      </c>
      <c r="F79" s="3180"/>
      <c r="G79" s="3180">
        <v>12220</v>
      </c>
    </row>
    <row r="80" spans="1:7" s="3169" customFormat="1" ht="14.25" customHeight="1">
      <c r="A80" s="3180" t="s">
        <v>110</v>
      </c>
      <c r="B80" s="3180" t="s">
        <v>2943</v>
      </c>
      <c r="C80" s="3180">
        <v>19850</v>
      </c>
      <c r="D80" s="3180"/>
      <c r="E80" s="3180">
        <v>21700</v>
      </c>
      <c r="F80" s="3180"/>
      <c r="G80" s="3180"/>
    </row>
    <row r="81" spans="1:7" s="3169" customFormat="1" ht="14.25" customHeight="1">
      <c r="A81" s="3180" t="s">
        <v>110</v>
      </c>
      <c r="B81" s="3180" t="s">
        <v>2948</v>
      </c>
      <c r="C81" s="3180">
        <v>18080</v>
      </c>
      <c r="D81" s="3180"/>
      <c r="E81" s="3180">
        <v>20900</v>
      </c>
      <c r="F81" s="3180"/>
      <c r="G81" s="3180"/>
    </row>
    <row r="82" spans="1:7" s="3169" customFormat="1" ht="14.25" customHeight="1">
      <c r="A82" s="3180" t="s">
        <v>110</v>
      </c>
      <c r="B82" s="3180" t="s">
        <v>2955</v>
      </c>
      <c r="C82" s="3180"/>
      <c r="D82" s="3180"/>
      <c r="E82" s="3180">
        <v>20840</v>
      </c>
      <c r="F82" s="3180"/>
      <c r="G82" s="3180"/>
    </row>
    <row r="83" spans="1:7" s="3169" customFormat="1" ht="14.25" customHeight="1">
      <c r="A83" s="3180" t="s">
        <v>110</v>
      </c>
      <c r="B83" s="3180" t="s">
        <v>3066</v>
      </c>
      <c r="C83" s="3180"/>
      <c r="D83" s="3180"/>
      <c r="E83" s="3180"/>
      <c r="F83" s="3180">
        <v>4770</v>
      </c>
      <c r="G83" s="3180"/>
    </row>
    <row r="84" spans="1:7" s="3169" customFormat="1" ht="14.25" customHeight="1">
      <c r="A84" s="3180" t="s">
        <v>110</v>
      </c>
      <c r="B84" s="3180" t="s">
        <v>3067</v>
      </c>
      <c r="C84" s="3180"/>
      <c r="D84" s="3180"/>
      <c r="E84" s="3180"/>
      <c r="F84" s="3180">
        <v>4600</v>
      </c>
      <c r="G84" s="3180"/>
    </row>
    <row r="85" spans="1:7" s="3169" customFormat="1" ht="14.25" customHeight="1">
      <c r="A85" s="3180" t="s">
        <v>110</v>
      </c>
      <c r="B85" s="3180" t="s">
        <v>3068</v>
      </c>
      <c r="C85" s="3180"/>
      <c r="D85" s="3180"/>
      <c r="E85" s="3180"/>
      <c r="F85" s="3180">
        <v>4680</v>
      </c>
      <c r="G85" s="3180"/>
    </row>
    <row r="86" spans="1:7" s="3169" customFormat="1" ht="14.25" customHeight="1" thickBot="1">
      <c r="A86" s="3188" t="s">
        <v>110</v>
      </c>
      <c r="B86" s="3190" t="s">
        <v>3069</v>
      </c>
      <c r="C86" s="3191">
        <v>16610</v>
      </c>
      <c r="D86" s="3191">
        <v>16540</v>
      </c>
      <c r="E86" s="3191">
        <v>18850</v>
      </c>
      <c r="F86" s="3191"/>
      <c r="G86" s="3191">
        <v>11220</v>
      </c>
    </row>
    <row r="87" spans="1:7" s="3169" customFormat="1" ht="14.25" customHeight="1">
      <c r="A87" s="3185" t="s">
        <v>303</v>
      </c>
      <c r="B87" s="3176" t="s">
        <v>3070</v>
      </c>
      <c r="C87" s="3176">
        <v>15240</v>
      </c>
      <c r="D87" s="3176">
        <v>15170</v>
      </c>
      <c r="E87" s="3176">
        <v>18260</v>
      </c>
      <c r="F87" s="3176">
        <v>3830</v>
      </c>
      <c r="G87" s="3192">
        <v>10020</v>
      </c>
    </row>
    <row r="88" spans="1:7" s="3169" customFormat="1" ht="14.25" customHeight="1">
      <c r="A88" s="3180" t="s">
        <v>303</v>
      </c>
      <c r="B88" s="3180" t="s">
        <v>131</v>
      </c>
      <c r="C88" s="3180">
        <v>17310</v>
      </c>
      <c r="D88" s="3180">
        <v>17220</v>
      </c>
      <c r="E88" s="3180">
        <v>18610</v>
      </c>
      <c r="F88" s="3180">
        <v>3990</v>
      </c>
      <c r="G88" s="3193">
        <v>11380</v>
      </c>
    </row>
    <row r="89" spans="1:7" s="3169" customFormat="1" ht="14.25" customHeight="1">
      <c r="A89" s="3180" t="s">
        <v>303</v>
      </c>
      <c r="B89" s="3180" t="s">
        <v>140</v>
      </c>
      <c r="C89" s="3180">
        <v>15600</v>
      </c>
      <c r="D89" s="3180">
        <v>15550</v>
      </c>
      <c r="E89" s="3180">
        <v>19200</v>
      </c>
      <c r="F89" s="3180">
        <v>4110</v>
      </c>
      <c r="G89" s="3193">
        <v>10270</v>
      </c>
    </row>
    <row r="90" spans="1:7" s="3169" customFormat="1" ht="14.25" customHeight="1">
      <c r="A90" s="3180" t="s">
        <v>303</v>
      </c>
      <c r="B90" s="3180" t="s">
        <v>149</v>
      </c>
      <c r="C90" s="3180">
        <v>17330</v>
      </c>
      <c r="D90" s="3180">
        <v>17240</v>
      </c>
      <c r="E90" s="3180">
        <v>18570</v>
      </c>
      <c r="F90" s="3180">
        <v>4070</v>
      </c>
      <c r="G90" s="3193">
        <v>11390</v>
      </c>
    </row>
    <row r="91" spans="1:7" s="3169" customFormat="1" ht="14.25" customHeight="1">
      <c r="A91" s="3180" t="s">
        <v>303</v>
      </c>
      <c r="B91" s="3180" t="s">
        <v>158</v>
      </c>
      <c r="C91" s="3180">
        <v>16330</v>
      </c>
      <c r="D91" s="3180">
        <v>16260</v>
      </c>
      <c r="E91" s="3180">
        <v>16800</v>
      </c>
      <c r="F91" s="3180">
        <v>3410</v>
      </c>
      <c r="G91" s="3193">
        <v>10740</v>
      </c>
    </row>
    <row r="92" spans="1:7" s="3169" customFormat="1" ht="14.25" customHeight="1">
      <c r="A92" s="3180" t="s">
        <v>303</v>
      </c>
      <c r="B92" s="3180" t="s">
        <v>165</v>
      </c>
      <c r="C92" s="3180">
        <v>15570</v>
      </c>
      <c r="D92" s="3180">
        <v>15500</v>
      </c>
      <c r="E92" s="3180">
        <v>17360</v>
      </c>
      <c r="F92" s="3180">
        <v>3510</v>
      </c>
      <c r="G92" s="3193">
        <v>10240</v>
      </c>
    </row>
    <row r="93" spans="1:7" s="3169" customFormat="1" ht="14.25" customHeight="1">
      <c r="A93" s="3180" t="s">
        <v>303</v>
      </c>
      <c r="B93" s="3180" t="s">
        <v>171</v>
      </c>
      <c r="C93" s="3180">
        <v>14000</v>
      </c>
      <c r="D93" s="3180">
        <v>13930</v>
      </c>
      <c r="E93" s="3180">
        <v>18200</v>
      </c>
      <c r="F93" s="3180">
        <v>3640</v>
      </c>
      <c r="G93" s="3193">
        <v>9210</v>
      </c>
    </row>
    <row r="94" spans="1:7" s="3169" customFormat="1" ht="14.25" customHeight="1">
      <c r="A94" s="3180" t="s">
        <v>303</v>
      </c>
      <c r="B94" s="3180" t="s">
        <v>178</v>
      </c>
      <c r="C94" s="3180">
        <v>14530</v>
      </c>
      <c r="D94" s="3180">
        <v>14470</v>
      </c>
      <c r="E94" s="3180">
        <v>18240</v>
      </c>
      <c r="F94" s="3180">
        <v>3180</v>
      </c>
      <c r="G94" s="3193">
        <v>9560</v>
      </c>
    </row>
    <row r="95" spans="1:7" s="3169" customFormat="1" ht="14.25" customHeight="1">
      <c r="A95" s="3180" t="s">
        <v>303</v>
      </c>
      <c r="B95" s="3180" t="s">
        <v>188</v>
      </c>
      <c r="C95" s="3180">
        <v>17330</v>
      </c>
      <c r="D95" s="3180">
        <v>17260</v>
      </c>
      <c r="E95" s="3180">
        <v>18420</v>
      </c>
      <c r="F95" s="3180">
        <v>3060</v>
      </c>
      <c r="G95" s="3193">
        <v>11410</v>
      </c>
    </row>
    <row r="96" spans="1:7" s="3169" customFormat="1" ht="14.25" customHeight="1">
      <c r="A96" s="3180" t="s">
        <v>303</v>
      </c>
      <c r="B96" s="3180" t="s">
        <v>197</v>
      </c>
      <c r="C96" s="3180">
        <v>15030</v>
      </c>
      <c r="D96" s="3180">
        <v>14970</v>
      </c>
      <c r="E96" s="3180">
        <v>17580</v>
      </c>
      <c r="F96" s="3180">
        <v>2970</v>
      </c>
      <c r="G96" s="3193">
        <v>9890</v>
      </c>
    </row>
    <row r="97" spans="1:7" s="3169" customFormat="1" ht="14.25" customHeight="1">
      <c r="A97" s="3180" t="s">
        <v>303</v>
      </c>
      <c r="B97" s="3180" t="s">
        <v>204</v>
      </c>
      <c r="C97" s="3180">
        <v>17400</v>
      </c>
      <c r="D97" s="3180">
        <v>17330</v>
      </c>
      <c r="E97" s="3180">
        <v>16430</v>
      </c>
      <c r="F97" s="3180">
        <v>2950</v>
      </c>
      <c r="G97" s="3193">
        <v>11450</v>
      </c>
    </row>
    <row r="98" spans="1:7" s="3169" customFormat="1" ht="14.25" customHeight="1">
      <c r="A98" s="3180" t="s">
        <v>303</v>
      </c>
      <c r="B98" s="3180" t="s">
        <v>211</v>
      </c>
      <c r="C98" s="3180">
        <v>15200</v>
      </c>
      <c r="D98" s="3180">
        <v>15120</v>
      </c>
      <c r="E98" s="3180">
        <v>17550</v>
      </c>
      <c r="F98" s="3180">
        <v>3080</v>
      </c>
      <c r="G98" s="3193">
        <v>9990</v>
      </c>
    </row>
    <row r="99" spans="1:7" s="3169" customFormat="1" ht="14.25" customHeight="1">
      <c r="A99" s="3180" t="s">
        <v>303</v>
      </c>
      <c r="B99" s="3180" t="s">
        <v>217</v>
      </c>
      <c r="C99" s="3180">
        <v>17520</v>
      </c>
      <c r="D99" s="3180">
        <v>17430</v>
      </c>
      <c r="E99" s="3180">
        <v>16350</v>
      </c>
      <c r="F99" s="3180">
        <v>3260</v>
      </c>
      <c r="G99" s="3193">
        <v>11510</v>
      </c>
    </row>
    <row r="100" spans="1:7" s="3169" customFormat="1" ht="14.25" customHeight="1">
      <c r="A100" s="3180" t="s">
        <v>303</v>
      </c>
      <c r="B100" s="3180" t="s">
        <v>225</v>
      </c>
      <c r="C100" s="3180">
        <v>15340</v>
      </c>
      <c r="D100" s="3180">
        <v>15260</v>
      </c>
      <c r="E100" s="3180">
        <v>15930</v>
      </c>
      <c r="F100" s="3180">
        <v>2740</v>
      </c>
      <c r="G100" s="3193">
        <v>10080</v>
      </c>
    </row>
    <row r="101" spans="1:7" s="3169" customFormat="1" ht="14.25" customHeight="1">
      <c r="A101" s="3180" t="s">
        <v>303</v>
      </c>
      <c r="B101" s="3180" t="s">
        <v>233</v>
      </c>
      <c r="C101" s="3180">
        <v>14620</v>
      </c>
      <c r="D101" s="3180">
        <v>14560</v>
      </c>
      <c r="E101" s="3180">
        <v>15570</v>
      </c>
      <c r="F101" s="3180">
        <v>3500</v>
      </c>
      <c r="G101" s="3193">
        <v>9630</v>
      </c>
    </row>
    <row r="102" spans="1:7" s="3169" customFormat="1" ht="14.25" customHeight="1">
      <c r="A102" s="3180" t="s">
        <v>303</v>
      </c>
      <c r="B102" s="3180" t="s">
        <v>238</v>
      </c>
      <c r="C102" s="3180">
        <v>13680</v>
      </c>
      <c r="D102" s="3180">
        <v>13610</v>
      </c>
      <c r="E102" s="3180">
        <v>15690</v>
      </c>
      <c r="F102" s="3180">
        <v>2870</v>
      </c>
      <c r="G102" s="3193">
        <v>8990</v>
      </c>
    </row>
    <row r="103" spans="1:7" s="3169" customFormat="1" ht="14.25" customHeight="1">
      <c r="A103" s="3180" t="s">
        <v>303</v>
      </c>
      <c r="B103" s="3180" t="s">
        <v>247</v>
      </c>
      <c r="C103" s="3180">
        <v>14620</v>
      </c>
      <c r="D103" s="3180">
        <v>14540</v>
      </c>
      <c r="E103" s="3180">
        <v>15240</v>
      </c>
      <c r="F103" s="3180">
        <v>2840</v>
      </c>
      <c r="G103" s="3193">
        <v>9610</v>
      </c>
    </row>
    <row r="104" spans="1:7" s="3169" customFormat="1" ht="14.25" customHeight="1">
      <c r="A104" s="3180" t="s">
        <v>303</v>
      </c>
      <c r="B104" s="3180" t="s">
        <v>254</v>
      </c>
      <c r="C104" s="3180">
        <v>13610</v>
      </c>
      <c r="D104" s="3180">
        <v>13540</v>
      </c>
      <c r="E104" s="3180">
        <v>15750</v>
      </c>
      <c r="F104" s="3180">
        <v>2770</v>
      </c>
      <c r="G104" s="3193">
        <v>8940</v>
      </c>
    </row>
    <row r="105" spans="1:7" s="3169" customFormat="1" ht="14.25" customHeight="1">
      <c r="A105" s="3180" t="s">
        <v>303</v>
      </c>
      <c r="B105" s="3180" t="s">
        <v>262</v>
      </c>
      <c r="C105" s="3180">
        <v>13310</v>
      </c>
      <c r="D105" s="3180">
        <v>13240</v>
      </c>
      <c r="E105" s="3180">
        <v>16280</v>
      </c>
      <c r="F105" s="3180">
        <v>3210</v>
      </c>
      <c r="G105" s="3193">
        <v>8750</v>
      </c>
    </row>
    <row r="106" spans="1:7" s="3169" customFormat="1" ht="14.25" customHeight="1">
      <c r="A106" s="3180" t="s">
        <v>303</v>
      </c>
      <c r="B106" s="3180" t="s">
        <v>269</v>
      </c>
      <c r="C106" s="3180">
        <v>13010</v>
      </c>
      <c r="D106" s="3180">
        <v>12930</v>
      </c>
      <c r="E106" s="3180">
        <v>14960</v>
      </c>
      <c r="F106" s="3180">
        <v>3530</v>
      </c>
      <c r="G106" s="3193">
        <v>8550</v>
      </c>
    </row>
    <row r="107" spans="1:7" s="3169" customFormat="1" ht="14.25" customHeight="1">
      <c r="A107" s="3180" t="s">
        <v>303</v>
      </c>
      <c r="B107" s="3180" t="s">
        <v>273</v>
      </c>
      <c r="C107" s="3180">
        <v>13070</v>
      </c>
      <c r="D107" s="3180">
        <v>13000</v>
      </c>
      <c r="E107" s="3180">
        <v>15910</v>
      </c>
      <c r="F107" s="3180">
        <v>3990</v>
      </c>
      <c r="G107" s="3193">
        <v>8580</v>
      </c>
    </row>
    <row r="108" spans="1:7" s="3169" customFormat="1" ht="14.25" customHeight="1">
      <c r="A108" s="3180" t="s">
        <v>303</v>
      </c>
      <c r="B108" s="3180" t="s">
        <v>279</v>
      </c>
      <c r="C108" s="3180">
        <v>12640</v>
      </c>
      <c r="D108" s="3180">
        <v>12580</v>
      </c>
      <c r="E108" s="3180">
        <v>15730</v>
      </c>
      <c r="F108" s="3180"/>
      <c r="G108" s="3193">
        <v>8310</v>
      </c>
    </row>
    <row r="109" spans="1:7" s="3169" customFormat="1" ht="14.25" customHeight="1">
      <c r="A109" s="3180" t="s">
        <v>303</v>
      </c>
      <c r="B109" s="3180" t="s">
        <v>282</v>
      </c>
      <c r="C109" s="3180">
        <v>13130</v>
      </c>
      <c r="D109" s="3180">
        <v>13070</v>
      </c>
      <c r="E109" s="3180">
        <v>15000</v>
      </c>
      <c r="F109" s="3180"/>
      <c r="G109" s="3193">
        <v>8630</v>
      </c>
    </row>
    <row r="110" spans="1:7" s="3169" customFormat="1" ht="14.25" customHeight="1">
      <c r="A110" s="3180" t="s">
        <v>303</v>
      </c>
      <c r="B110" s="3180" t="s">
        <v>284</v>
      </c>
      <c r="C110" s="3180">
        <v>13560</v>
      </c>
      <c r="D110" s="3180">
        <v>13490</v>
      </c>
      <c r="E110" s="3180">
        <v>16300</v>
      </c>
      <c r="F110" s="3180"/>
      <c r="G110" s="3193">
        <v>8920</v>
      </c>
    </row>
    <row r="111" spans="1:7" s="3169" customFormat="1" ht="14.25" customHeight="1">
      <c r="A111" s="3180" t="s">
        <v>303</v>
      </c>
      <c r="B111" s="3180" t="s">
        <v>287</v>
      </c>
      <c r="C111" s="3180">
        <v>12440</v>
      </c>
      <c r="D111" s="3180">
        <v>12380</v>
      </c>
      <c r="E111" s="3180">
        <v>17850</v>
      </c>
      <c r="F111" s="3180"/>
      <c r="G111" s="3193">
        <v>8180</v>
      </c>
    </row>
    <row r="112" spans="1:7" s="3169" customFormat="1" ht="14.25" customHeight="1">
      <c r="A112" s="3180" t="s">
        <v>303</v>
      </c>
      <c r="B112" s="3180" t="s">
        <v>291</v>
      </c>
      <c r="C112" s="3180">
        <v>13260</v>
      </c>
      <c r="D112" s="3180">
        <v>13180</v>
      </c>
      <c r="E112" s="3180">
        <v>19740</v>
      </c>
      <c r="F112" s="3180"/>
      <c r="G112" s="3193">
        <v>8710</v>
      </c>
    </row>
    <row r="113" spans="1:7" s="3169" customFormat="1" ht="14.25" customHeight="1">
      <c r="A113" s="3180" t="s">
        <v>303</v>
      </c>
      <c r="B113" s="3180" t="s">
        <v>2949</v>
      </c>
      <c r="C113" s="3180">
        <v>15520</v>
      </c>
      <c r="D113" s="3180">
        <v>15450</v>
      </c>
      <c r="E113" s="3180"/>
      <c r="F113" s="3180"/>
      <c r="G113" s="3193">
        <v>10210</v>
      </c>
    </row>
    <row r="114" spans="1:7" s="3169" customFormat="1" ht="14.25" customHeight="1">
      <c r="A114" s="3180" t="s">
        <v>303</v>
      </c>
      <c r="B114" s="3180" t="s">
        <v>2956</v>
      </c>
      <c r="C114" s="3180">
        <v>13110</v>
      </c>
      <c r="D114" s="3180">
        <v>13050</v>
      </c>
      <c r="E114" s="3180"/>
      <c r="F114" s="3180"/>
      <c r="G114" s="3193">
        <v>8620</v>
      </c>
    </row>
    <row r="115" spans="1:7" s="3169" customFormat="1" ht="14.25" customHeight="1">
      <c r="A115" s="3180" t="s">
        <v>303</v>
      </c>
      <c r="B115" s="3180" t="s">
        <v>2962</v>
      </c>
      <c r="C115" s="3180">
        <v>12460</v>
      </c>
      <c r="D115" s="3180">
        <v>12390</v>
      </c>
      <c r="E115" s="3180"/>
      <c r="F115" s="3180"/>
      <c r="G115" s="3193">
        <v>8190</v>
      </c>
    </row>
    <row r="116" spans="1:7" s="3169" customFormat="1" ht="14.25" customHeight="1">
      <c r="A116" s="3180" t="s">
        <v>303</v>
      </c>
      <c r="B116" s="3180" t="s">
        <v>2969</v>
      </c>
      <c r="C116" s="3180">
        <v>13580</v>
      </c>
      <c r="D116" s="3180">
        <v>13520</v>
      </c>
      <c r="E116" s="3180"/>
      <c r="F116" s="3180"/>
      <c r="G116" s="3193">
        <v>8930</v>
      </c>
    </row>
    <row r="117" spans="1:7" s="3169" customFormat="1" ht="14.25" customHeight="1">
      <c r="A117" s="3180" t="s">
        <v>303</v>
      </c>
      <c r="B117" s="3180" t="s">
        <v>2976</v>
      </c>
      <c r="C117" s="3180">
        <v>17120</v>
      </c>
      <c r="D117" s="3180">
        <v>17040</v>
      </c>
      <c r="E117" s="3180"/>
      <c r="F117" s="3180"/>
      <c r="G117" s="3193">
        <v>11260</v>
      </c>
    </row>
    <row r="118" spans="1:7" s="3169" customFormat="1" ht="14.25" customHeight="1">
      <c r="A118" s="3180" t="s">
        <v>303</v>
      </c>
      <c r="B118" s="3180" t="s">
        <v>2981</v>
      </c>
      <c r="C118" s="3180">
        <v>14860</v>
      </c>
      <c r="D118" s="3180">
        <v>14790</v>
      </c>
      <c r="E118" s="3180"/>
      <c r="F118" s="3180"/>
      <c r="G118" s="3193">
        <v>9780</v>
      </c>
    </row>
    <row r="119" spans="1:7" s="3169" customFormat="1" ht="14.25" customHeight="1">
      <c r="A119" s="3180" t="s">
        <v>303</v>
      </c>
      <c r="B119" s="3180" t="s">
        <v>2985</v>
      </c>
      <c r="C119" s="3180">
        <v>16470</v>
      </c>
      <c r="D119" s="3180">
        <v>16400</v>
      </c>
      <c r="E119" s="3180"/>
      <c r="F119" s="3180"/>
      <c r="G119" s="3193">
        <v>10840</v>
      </c>
    </row>
    <row r="120" spans="1:7" s="3169" customFormat="1" ht="14.25" customHeight="1">
      <c r="A120" s="3180" t="s">
        <v>303</v>
      </c>
      <c r="B120" s="3180" t="s">
        <v>3071</v>
      </c>
      <c r="C120" s="3180"/>
      <c r="D120" s="3180"/>
      <c r="E120" s="3180"/>
      <c r="F120" s="3180">
        <v>4160</v>
      </c>
      <c r="G120" s="3193"/>
    </row>
    <row r="121" spans="1:7" s="3169" customFormat="1" ht="14.25" customHeight="1">
      <c r="A121" s="3180" t="s">
        <v>303</v>
      </c>
      <c r="B121" s="3180" t="s">
        <v>3072</v>
      </c>
      <c r="C121" s="3180"/>
      <c r="D121" s="3180"/>
      <c r="E121" s="3180"/>
      <c r="F121" s="3180">
        <v>3880</v>
      </c>
      <c r="G121" s="3193"/>
    </row>
    <row r="122" spans="1:7" s="3169" customFormat="1" ht="14.25" customHeight="1">
      <c r="A122" s="3180" t="s">
        <v>303</v>
      </c>
      <c r="B122" s="3180" t="s">
        <v>3073</v>
      </c>
      <c r="C122" s="3180">
        <v>13750</v>
      </c>
      <c r="D122" s="3180">
        <v>13680</v>
      </c>
      <c r="E122" s="3180">
        <v>16460</v>
      </c>
      <c r="F122" s="3180">
        <v>2880</v>
      </c>
      <c r="G122" s="3193">
        <v>9040</v>
      </c>
    </row>
    <row r="123" spans="1:7" s="3169" customFormat="1" ht="14.25" customHeight="1">
      <c r="A123" s="3180" t="s">
        <v>303</v>
      </c>
      <c r="B123" s="3180" t="s">
        <v>3004</v>
      </c>
      <c r="C123" s="3180">
        <v>13590</v>
      </c>
      <c r="D123" s="3180">
        <v>13520</v>
      </c>
      <c r="E123" s="3180">
        <v>16290</v>
      </c>
      <c r="F123" s="3180">
        <v>2790</v>
      </c>
      <c r="G123" s="3193">
        <v>8930</v>
      </c>
    </row>
    <row r="124" spans="1:7" s="3169" customFormat="1" ht="14.25" customHeight="1">
      <c r="A124" s="3180" t="s">
        <v>303</v>
      </c>
      <c r="B124" s="3180" t="s">
        <v>3009</v>
      </c>
      <c r="C124" s="3180">
        <v>13400</v>
      </c>
      <c r="D124" s="3180">
        <v>13320</v>
      </c>
      <c r="E124" s="3180">
        <v>16100</v>
      </c>
      <c r="F124" s="3180">
        <v>2320</v>
      </c>
      <c r="G124" s="3193">
        <v>8800</v>
      </c>
    </row>
    <row r="125" spans="1:7" s="3169" customFormat="1" ht="14.25" customHeight="1">
      <c r="A125" s="3180" t="s">
        <v>303</v>
      </c>
      <c r="B125" s="3180" t="s">
        <v>3014</v>
      </c>
      <c r="C125" s="3180">
        <v>12860</v>
      </c>
      <c r="D125" s="3180">
        <v>12790</v>
      </c>
      <c r="E125" s="3180">
        <v>15370</v>
      </c>
      <c r="F125" s="3180">
        <v>2280</v>
      </c>
      <c r="G125" s="3193">
        <v>8450</v>
      </c>
    </row>
    <row r="126" spans="1:7" s="3169" customFormat="1" ht="14.25" customHeight="1" thickBot="1">
      <c r="A126" s="3194" t="s">
        <v>303</v>
      </c>
      <c r="B126" s="3187" t="s">
        <v>3019</v>
      </c>
      <c r="C126" s="3187">
        <v>12960</v>
      </c>
      <c r="D126" s="3187">
        <v>12890</v>
      </c>
      <c r="E126" s="3187">
        <v>15530</v>
      </c>
      <c r="F126" s="3187">
        <v>2910</v>
      </c>
      <c r="G126" s="3195">
        <v>8520</v>
      </c>
    </row>
    <row r="127" spans="1:7" s="3169" customFormat="1" ht="14.25" customHeight="1">
      <c r="A127" s="3185" t="s">
        <v>29</v>
      </c>
      <c r="B127" s="3176" t="s">
        <v>3074</v>
      </c>
      <c r="C127" s="3180">
        <v>12280</v>
      </c>
      <c r="D127" s="3180">
        <v>12250</v>
      </c>
      <c r="E127" s="3180">
        <v>15130</v>
      </c>
      <c r="F127" s="3180">
        <v>2710</v>
      </c>
      <c r="G127" s="3180">
        <v>7870</v>
      </c>
    </row>
    <row r="128" spans="1:7" s="3169" customFormat="1" ht="14.25" customHeight="1">
      <c r="A128" s="3180" t="s">
        <v>29</v>
      </c>
      <c r="B128" s="3180" t="s">
        <v>132</v>
      </c>
      <c r="C128" s="3180">
        <v>13180</v>
      </c>
      <c r="D128" s="3180">
        <v>13150</v>
      </c>
      <c r="E128" s="3180">
        <v>16190</v>
      </c>
      <c r="F128" s="3180">
        <v>2820</v>
      </c>
      <c r="G128" s="3180">
        <v>8460</v>
      </c>
    </row>
    <row r="129" spans="1:7" s="3169" customFormat="1" ht="14.25" customHeight="1">
      <c r="A129" s="3180" t="s">
        <v>29</v>
      </c>
      <c r="B129" s="3180" t="s">
        <v>141</v>
      </c>
      <c r="C129" s="3180">
        <v>10950</v>
      </c>
      <c r="D129" s="3180">
        <v>10920</v>
      </c>
      <c r="E129" s="3180">
        <v>13820</v>
      </c>
      <c r="F129" s="3180">
        <v>2500</v>
      </c>
      <c r="G129" s="3180">
        <v>7020</v>
      </c>
    </row>
    <row r="130" spans="1:7" s="3169" customFormat="1" ht="14.25" customHeight="1">
      <c r="A130" s="3180" t="s">
        <v>29</v>
      </c>
      <c r="B130" s="3180" t="s">
        <v>150</v>
      </c>
      <c r="C130" s="3180">
        <v>10910</v>
      </c>
      <c r="D130" s="3180">
        <v>10860</v>
      </c>
      <c r="E130" s="3180">
        <v>13730</v>
      </c>
      <c r="F130" s="3180">
        <v>2760</v>
      </c>
      <c r="G130" s="3180">
        <v>6990</v>
      </c>
    </row>
    <row r="131" spans="1:7" s="3169" customFormat="1" ht="14.25" customHeight="1">
      <c r="A131" s="3180" t="s">
        <v>29</v>
      </c>
      <c r="B131" s="3180" t="s">
        <v>159</v>
      </c>
      <c r="C131" s="3180">
        <v>12910</v>
      </c>
      <c r="D131" s="3180">
        <v>12870</v>
      </c>
      <c r="E131" s="3180">
        <v>15720</v>
      </c>
      <c r="F131" s="3180">
        <v>2750</v>
      </c>
      <c r="G131" s="3180">
        <v>8280</v>
      </c>
    </row>
    <row r="132" spans="1:7" s="3169" customFormat="1" ht="14.25" customHeight="1">
      <c r="A132" s="3180" t="s">
        <v>29</v>
      </c>
      <c r="B132" s="3180" t="s">
        <v>166</v>
      </c>
      <c r="C132" s="3180">
        <v>11910</v>
      </c>
      <c r="D132" s="3180">
        <v>11860</v>
      </c>
      <c r="E132" s="3180">
        <v>14730</v>
      </c>
      <c r="F132" s="3180">
        <v>2360</v>
      </c>
      <c r="G132" s="3180">
        <v>7630</v>
      </c>
    </row>
    <row r="133" spans="1:7" s="3169" customFormat="1" ht="14.25" customHeight="1">
      <c r="A133" s="3180" t="s">
        <v>29</v>
      </c>
      <c r="B133" s="3180" t="s">
        <v>172</v>
      </c>
      <c r="C133" s="3180">
        <v>12270</v>
      </c>
      <c r="D133" s="3180">
        <v>12210</v>
      </c>
      <c r="E133" s="3180">
        <v>15010</v>
      </c>
      <c r="F133" s="3180">
        <v>2580</v>
      </c>
      <c r="G133" s="3180">
        <v>7860</v>
      </c>
    </row>
    <row r="134" spans="1:7" s="3169" customFormat="1" ht="14.25" customHeight="1">
      <c r="A134" s="3180" t="s">
        <v>29</v>
      </c>
      <c r="B134" s="3180" t="s">
        <v>179</v>
      </c>
      <c r="C134" s="3180">
        <v>10800</v>
      </c>
      <c r="D134" s="3180">
        <v>10780</v>
      </c>
      <c r="E134" s="3180">
        <v>13640</v>
      </c>
      <c r="F134" s="3180">
        <v>2110</v>
      </c>
      <c r="G134" s="3180">
        <v>6930</v>
      </c>
    </row>
    <row r="135" spans="1:7" s="3169" customFormat="1" ht="14.25" customHeight="1">
      <c r="A135" s="3180" t="s">
        <v>29</v>
      </c>
      <c r="B135" s="3180" t="s">
        <v>189</v>
      </c>
      <c r="C135" s="3180">
        <v>10430</v>
      </c>
      <c r="D135" s="3180">
        <v>10390</v>
      </c>
      <c r="E135" s="3180">
        <v>13140</v>
      </c>
      <c r="F135" s="3180">
        <v>2240</v>
      </c>
      <c r="G135" s="3180">
        <v>6680</v>
      </c>
    </row>
    <row r="136" spans="1:7" s="3169" customFormat="1" ht="14.25" customHeight="1">
      <c r="A136" s="3180" t="s">
        <v>29</v>
      </c>
      <c r="B136" s="3180" t="s">
        <v>198</v>
      </c>
      <c r="C136" s="3180">
        <v>11930</v>
      </c>
      <c r="D136" s="3180">
        <v>11880</v>
      </c>
      <c r="E136" s="3180">
        <v>14770</v>
      </c>
      <c r="F136" s="3180">
        <v>1970</v>
      </c>
      <c r="G136" s="3180">
        <v>7640</v>
      </c>
    </row>
    <row r="137" spans="1:7" s="3169" customFormat="1" ht="14.25" customHeight="1">
      <c r="A137" s="3180" t="s">
        <v>29</v>
      </c>
      <c r="B137" s="3180" t="s">
        <v>205</v>
      </c>
      <c r="C137" s="3180">
        <v>10470</v>
      </c>
      <c r="D137" s="3180">
        <v>10430</v>
      </c>
      <c r="E137" s="3180">
        <v>13190</v>
      </c>
      <c r="F137" s="3180">
        <v>1990</v>
      </c>
      <c r="G137" s="3180">
        <v>6710</v>
      </c>
    </row>
    <row r="138" spans="1:7" s="3169" customFormat="1" ht="14.25" customHeight="1">
      <c r="A138" s="3180" t="s">
        <v>29</v>
      </c>
      <c r="B138" s="3180" t="s">
        <v>212</v>
      </c>
      <c r="C138" s="3180">
        <v>10410</v>
      </c>
      <c r="D138" s="3180">
        <v>10380</v>
      </c>
      <c r="E138" s="3180">
        <v>13130</v>
      </c>
      <c r="F138" s="3180">
        <v>2030</v>
      </c>
      <c r="G138" s="3180">
        <v>6680</v>
      </c>
    </row>
    <row r="139" spans="1:7" s="3169" customFormat="1" ht="14.25" customHeight="1">
      <c r="A139" s="3180" t="s">
        <v>29</v>
      </c>
      <c r="B139" s="3180" t="s">
        <v>218</v>
      </c>
      <c r="C139" s="3180">
        <v>9460</v>
      </c>
      <c r="D139" s="3180">
        <v>9410</v>
      </c>
      <c r="E139" s="3180">
        <v>12050</v>
      </c>
      <c r="F139" s="3180">
        <v>2140</v>
      </c>
      <c r="G139" s="3180">
        <v>6050</v>
      </c>
    </row>
    <row r="140" spans="1:7" s="3169" customFormat="1" ht="14.25" customHeight="1">
      <c r="A140" s="3180" t="s">
        <v>29</v>
      </c>
      <c r="B140" s="3180" t="s">
        <v>226</v>
      </c>
      <c r="C140" s="3180">
        <v>11030</v>
      </c>
      <c r="D140" s="3180">
        <v>10980</v>
      </c>
      <c r="E140" s="3180">
        <v>13880</v>
      </c>
      <c r="F140" s="3180">
        <v>2210</v>
      </c>
      <c r="G140" s="3180">
        <v>7060</v>
      </c>
    </row>
    <row r="141" spans="1:7" s="3169" customFormat="1" ht="14.25" customHeight="1">
      <c r="A141" s="3180" t="s">
        <v>29</v>
      </c>
      <c r="B141" s="3180" t="s">
        <v>234</v>
      </c>
      <c r="C141" s="3180">
        <v>11200</v>
      </c>
      <c r="D141" s="3180">
        <v>11150</v>
      </c>
      <c r="E141" s="3180">
        <v>14100</v>
      </c>
      <c r="F141" s="3180">
        <v>2470</v>
      </c>
      <c r="G141" s="3180">
        <v>7170</v>
      </c>
    </row>
    <row r="142" spans="1:7" s="3169" customFormat="1" ht="14.25" customHeight="1">
      <c r="A142" s="3180" t="s">
        <v>29</v>
      </c>
      <c r="B142" s="3180" t="s">
        <v>239</v>
      </c>
      <c r="C142" s="3180">
        <v>10780</v>
      </c>
      <c r="D142" s="3180">
        <v>10730</v>
      </c>
      <c r="E142" s="3180">
        <v>13540</v>
      </c>
      <c r="F142" s="3180">
        <v>2280</v>
      </c>
      <c r="G142" s="3180">
        <v>6900</v>
      </c>
    </row>
    <row r="143" spans="1:7" s="3169" customFormat="1" ht="14.25" customHeight="1">
      <c r="A143" s="3180" t="s">
        <v>29</v>
      </c>
      <c r="B143" s="3180" t="s">
        <v>248</v>
      </c>
      <c r="C143" s="3180">
        <v>11550</v>
      </c>
      <c r="D143" s="3180">
        <v>11490</v>
      </c>
      <c r="E143" s="3180">
        <v>14480</v>
      </c>
      <c r="F143" s="3180">
        <v>2070</v>
      </c>
      <c r="G143" s="3180">
        <v>7390</v>
      </c>
    </row>
    <row r="144" spans="1:7" s="3169" customFormat="1" ht="14.25" customHeight="1">
      <c r="A144" s="3180" t="s">
        <v>29</v>
      </c>
      <c r="B144" s="3180" t="s">
        <v>255</v>
      </c>
      <c r="C144" s="3180">
        <v>10720</v>
      </c>
      <c r="D144" s="3180">
        <v>10680</v>
      </c>
      <c r="E144" s="3180">
        <v>13480</v>
      </c>
      <c r="F144" s="3180">
        <v>2440</v>
      </c>
      <c r="G144" s="3180">
        <v>6870</v>
      </c>
    </row>
    <row r="145" spans="1:7" s="3169" customFormat="1" ht="14.25" customHeight="1">
      <c r="A145" s="3180" t="s">
        <v>29</v>
      </c>
      <c r="B145" s="3180" t="s">
        <v>263</v>
      </c>
      <c r="C145" s="3180">
        <v>10340</v>
      </c>
      <c r="D145" s="3180">
        <v>10290</v>
      </c>
      <c r="E145" s="3180">
        <v>12880</v>
      </c>
      <c r="F145" s="3180">
        <v>2650</v>
      </c>
      <c r="G145" s="3180">
        <v>6620</v>
      </c>
    </row>
    <row r="146" spans="1:7" s="3169" customFormat="1" ht="14.25" customHeight="1">
      <c r="A146" s="3180" t="s">
        <v>29</v>
      </c>
      <c r="B146" s="3180" t="s">
        <v>270</v>
      </c>
      <c r="C146" s="3180">
        <v>11890</v>
      </c>
      <c r="D146" s="3180">
        <v>11830</v>
      </c>
      <c r="E146" s="3180">
        <v>14670</v>
      </c>
      <c r="F146" s="3180"/>
      <c r="G146" s="3180">
        <v>7610</v>
      </c>
    </row>
    <row r="147" spans="1:7" s="3169" customFormat="1" ht="14.25" customHeight="1">
      <c r="A147" s="3180" t="s">
        <v>29</v>
      </c>
      <c r="B147" s="3180" t="s">
        <v>274</v>
      </c>
      <c r="C147" s="3180">
        <v>12650</v>
      </c>
      <c r="D147" s="3180">
        <v>12600</v>
      </c>
      <c r="E147" s="3180">
        <v>15440</v>
      </c>
      <c r="F147" s="3180"/>
      <c r="G147" s="3180">
        <v>8110</v>
      </c>
    </row>
    <row r="148" spans="1:7" s="3169" customFormat="1" ht="14.25" customHeight="1">
      <c r="A148" s="3180" t="s">
        <v>29</v>
      </c>
      <c r="B148" s="3180" t="s">
        <v>3075</v>
      </c>
      <c r="C148" s="3180">
        <v>10370</v>
      </c>
      <c r="D148" s="3180">
        <v>10310</v>
      </c>
      <c r="E148" s="3180">
        <v>12970</v>
      </c>
      <c r="F148" s="3180"/>
      <c r="G148" s="3180">
        <v>6630</v>
      </c>
    </row>
    <row r="149" spans="1:7" s="3169" customFormat="1" ht="14.25" customHeight="1">
      <c r="A149" s="3180" t="s">
        <v>29</v>
      </c>
      <c r="B149" s="3180" t="s">
        <v>3076</v>
      </c>
      <c r="C149" s="3180">
        <v>11600</v>
      </c>
      <c r="D149" s="3180">
        <v>11560</v>
      </c>
      <c r="E149" s="3180">
        <v>14540</v>
      </c>
      <c r="F149" s="3180">
        <v>2390</v>
      </c>
      <c r="G149" s="3180">
        <v>7430</v>
      </c>
    </row>
    <row r="150" spans="1:7" s="3169" customFormat="1" ht="14.25" customHeight="1">
      <c r="A150" s="3180" t="s">
        <v>29</v>
      </c>
      <c r="B150" s="3180" t="s">
        <v>292</v>
      </c>
      <c r="C150" s="3180">
        <v>9950</v>
      </c>
      <c r="D150" s="3180">
        <v>9890</v>
      </c>
      <c r="E150" s="3180">
        <v>12590</v>
      </c>
      <c r="F150" s="3180">
        <v>1970</v>
      </c>
      <c r="G150" s="3180">
        <v>6360</v>
      </c>
    </row>
    <row r="151" spans="1:7" s="3169" customFormat="1" ht="14.25" customHeight="1">
      <c r="A151" s="3180" t="s">
        <v>29</v>
      </c>
      <c r="B151" s="3180" t="s">
        <v>294</v>
      </c>
      <c r="C151" s="3180">
        <v>10700</v>
      </c>
      <c r="D151" s="3180">
        <v>10650</v>
      </c>
      <c r="E151" s="3180">
        <v>13420</v>
      </c>
      <c r="F151" s="3180">
        <v>2020</v>
      </c>
      <c r="G151" s="3180">
        <v>6850</v>
      </c>
    </row>
    <row r="152" spans="1:7" s="3169" customFormat="1" ht="14.25" customHeight="1">
      <c r="A152" s="3180" t="s">
        <v>29</v>
      </c>
      <c r="B152" s="3180" t="s">
        <v>297</v>
      </c>
      <c r="C152" s="3180">
        <v>10310</v>
      </c>
      <c r="D152" s="3180">
        <v>10260</v>
      </c>
      <c r="E152" s="3180">
        <v>12820</v>
      </c>
      <c r="F152" s="3180">
        <v>1980</v>
      </c>
      <c r="G152" s="3180">
        <v>6600</v>
      </c>
    </row>
    <row r="153" spans="1:7" s="3169" customFormat="1" ht="14.25" customHeight="1">
      <c r="A153" s="3180" t="s">
        <v>29</v>
      </c>
      <c r="B153" s="3180" t="s">
        <v>2950</v>
      </c>
      <c r="C153" s="3180">
        <v>10880</v>
      </c>
      <c r="D153" s="3180">
        <v>10820</v>
      </c>
      <c r="E153" s="3180">
        <v>13660</v>
      </c>
      <c r="F153" s="3180">
        <v>2260</v>
      </c>
      <c r="G153" s="3180">
        <v>6970</v>
      </c>
    </row>
    <row r="154" spans="1:7" s="3169" customFormat="1" ht="14.25" customHeight="1">
      <c r="A154" s="3180" t="s">
        <v>29</v>
      </c>
      <c r="B154" s="3180" t="s">
        <v>3077</v>
      </c>
      <c r="C154" s="3180">
        <v>11220</v>
      </c>
      <c r="D154" s="3180">
        <v>11160</v>
      </c>
      <c r="E154" s="3180">
        <v>14130</v>
      </c>
      <c r="F154" s="3180">
        <v>2230</v>
      </c>
      <c r="G154" s="3180">
        <v>7180</v>
      </c>
    </row>
    <row r="155" spans="1:7" s="3169" customFormat="1" ht="14.25" customHeight="1">
      <c r="A155" s="3180" t="s">
        <v>29</v>
      </c>
      <c r="B155" s="3180" t="s">
        <v>2963</v>
      </c>
      <c r="C155" s="3180">
        <v>10430</v>
      </c>
      <c r="D155" s="3180">
        <v>10380</v>
      </c>
      <c r="E155" s="3180">
        <v>13140</v>
      </c>
      <c r="F155" s="3180">
        <v>2080</v>
      </c>
      <c r="G155" s="3180">
        <v>6650</v>
      </c>
    </row>
    <row r="156" spans="1:7" s="3169" customFormat="1" ht="14.25" customHeight="1">
      <c r="A156" s="3180" t="s">
        <v>29</v>
      </c>
      <c r="B156" s="3180" t="s">
        <v>3078</v>
      </c>
      <c r="C156" s="3180">
        <v>10440</v>
      </c>
      <c r="D156" s="3180">
        <v>10400</v>
      </c>
      <c r="E156" s="3180">
        <v>13150</v>
      </c>
      <c r="F156" s="3180">
        <v>2490</v>
      </c>
      <c r="G156" s="3180">
        <v>6690</v>
      </c>
    </row>
    <row r="157" spans="1:7" s="3169" customFormat="1" ht="14.25" customHeight="1">
      <c r="A157" s="3180" t="s">
        <v>29</v>
      </c>
      <c r="B157" s="3180" t="s">
        <v>300</v>
      </c>
      <c r="C157" s="3180">
        <v>10970</v>
      </c>
      <c r="D157" s="3180">
        <v>10920</v>
      </c>
      <c r="E157" s="3180">
        <v>13840</v>
      </c>
      <c r="F157" s="3180">
        <v>2420</v>
      </c>
      <c r="G157" s="3180">
        <v>7020</v>
      </c>
    </row>
    <row r="158" spans="1:7" s="3169" customFormat="1" ht="14.25" customHeight="1">
      <c r="A158" s="3180" t="s">
        <v>29</v>
      </c>
      <c r="B158" s="3180" t="s">
        <v>301</v>
      </c>
      <c r="C158" s="3180">
        <v>9590</v>
      </c>
      <c r="D158" s="3180">
        <v>9540</v>
      </c>
      <c r="E158" s="3180">
        <v>12210</v>
      </c>
      <c r="F158" s="3180">
        <v>2100</v>
      </c>
      <c r="G158" s="3180">
        <v>6130</v>
      </c>
    </row>
    <row r="159" spans="1:7" s="3169" customFormat="1" ht="14.25" customHeight="1">
      <c r="A159" s="3180" t="s">
        <v>29</v>
      </c>
      <c r="B159" s="3180" t="s">
        <v>302</v>
      </c>
      <c r="C159" s="3180">
        <v>11190</v>
      </c>
      <c r="D159" s="3180">
        <v>11140</v>
      </c>
      <c r="E159" s="3180">
        <v>14090</v>
      </c>
      <c r="F159" s="3180">
        <v>2470</v>
      </c>
      <c r="G159" s="3180">
        <v>7170</v>
      </c>
    </row>
    <row r="160" spans="1:7" s="3169" customFormat="1" ht="14.25" customHeight="1">
      <c r="A160" s="3180" t="s">
        <v>29</v>
      </c>
      <c r="B160" s="3180" t="s">
        <v>3079</v>
      </c>
      <c r="C160" s="3180">
        <v>11180</v>
      </c>
      <c r="D160" s="3180">
        <v>11140</v>
      </c>
      <c r="E160" s="3180">
        <v>14050</v>
      </c>
      <c r="F160" s="3180">
        <v>2270</v>
      </c>
      <c r="G160" s="3180">
        <v>7170</v>
      </c>
    </row>
    <row r="161" spans="1:7" s="3169" customFormat="1" ht="14.25" customHeight="1">
      <c r="A161" s="3180" t="s">
        <v>29</v>
      </c>
      <c r="B161" s="3180" t="s">
        <v>2995</v>
      </c>
      <c r="C161" s="3180">
        <v>11160</v>
      </c>
      <c r="D161" s="3180">
        <v>11120</v>
      </c>
      <c r="E161" s="3180">
        <v>14020</v>
      </c>
      <c r="F161" s="3180">
        <v>2150</v>
      </c>
      <c r="G161" s="3180">
        <v>7160</v>
      </c>
    </row>
    <row r="162" spans="1:7" s="3169" customFormat="1" ht="14.25" customHeight="1">
      <c r="A162" s="3180" t="s">
        <v>29</v>
      </c>
      <c r="B162" s="3180" t="s">
        <v>3000</v>
      </c>
      <c r="C162" s="3180">
        <v>9620</v>
      </c>
      <c r="D162" s="3180">
        <v>9570</v>
      </c>
      <c r="E162" s="3180">
        <v>12320</v>
      </c>
      <c r="F162" s="3180">
        <v>2010</v>
      </c>
      <c r="G162" s="3180">
        <v>6160</v>
      </c>
    </row>
    <row r="163" spans="1:7" s="3169" customFormat="1" ht="14.25" customHeight="1">
      <c r="A163" s="3180" t="s">
        <v>29</v>
      </c>
      <c r="B163" s="3180" t="s">
        <v>3005</v>
      </c>
      <c r="C163" s="3180">
        <v>9320</v>
      </c>
      <c r="D163" s="3180">
        <v>9270</v>
      </c>
      <c r="E163" s="3180">
        <v>11790</v>
      </c>
      <c r="F163" s="3180">
        <v>1920</v>
      </c>
      <c r="G163" s="3180">
        <v>5960</v>
      </c>
    </row>
    <row r="164" spans="1:7" s="3169" customFormat="1" ht="14.25" customHeight="1">
      <c r="A164" s="3180" t="s">
        <v>29</v>
      </c>
      <c r="B164" s="3180" t="s">
        <v>3010</v>
      </c>
      <c r="C164" s="3180"/>
      <c r="D164" s="3180"/>
      <c r="E164" s="3180"/>
      <c r="F164" s="3180">
        <v>1980</v>
      </c>
      <c r="G164" s="3180"/>
    </row>
    <row r="165" spans="1:7" s="3169" customFormat="1" ht="14.25" customHeight="1">
      <c r="A165" s="3180" t="s">
        <v>29</v>
      </c>
      <c r="B165" s="3180" t="s">
        <v>3080</v>
      </c>
      <c r="C165" s="3180">
        <v>11060</v>
      </c>
      <c r="D165" s="3180">
        <v>11030</v>
      </c>
      <c r="E165" s="3180">
        <v>13850</v>
      </c>
      <c r="F165" s="3180">
        <v>2170</v>
      </c>
      <c r="G165" s="3180">
        <v>7090</v>
      </c>
    </row>
    <row r="166" spans="1:7" s="3169" customFormat="1" ht="14.25" customHeight="1">
      <c r="A166" s="3180" t="s">
        <v>29</v>
      </c>
      <c r="B166" s="3180" t="s">
        <v>3020</v>
      </c>
      <c r="C166" s="3180">
        <v>11050</v>
      </c>
      <c r="D166" s="3180">
        <v>11010</v>
      </c>
      <c r="E166" s="3180">
        <v>13920</v>
      </c>
      <c r="F166" s="3180">
        <v>2140</v>
      </c>
      <c r="G166" s="3180">
        <v>7080</v>
      </c>
    </row>
    <row r="167" spans="1:7" s="3169" customFormat="1" ht="14.25" customHeight="1">
      <c r="A167" s="3180" t="s">
        <v>29</v>
      </c>
      <c r="B167" s="3180" t="s">
        <v>3024</v>
      </c>
      <c r="C167" s="3180">
        <v>10930</v>
      </c>
      <c r="D167" s="3180">
        <v>10890</v>
      </c>
      <c r="E167" s="3180">
        <v>13790</v>
      </c>
      <c r="F167" s="3180">
        <v>2010</v>
      </c>
      <c r="G167" s="3180">
        <v>7000</v>
      </c>
    </row>
    <row r="168" spans="1:7" s="3169" customFormat="1" ht="14.25" customHeight="1">
      <c r="A168" s="3180" t="s">
        <v>29</v>
      </c>
      <c r="B168" s="3180" t="s">
        <v>3029</v>
      </c>
      <c r="C168" s="3180">
        <v>9420</v>
      </c>
      <c r="D168" s="3180">
        <v>9380</v>
      </c>
      <c r="E168" s="3180">
        <v>11970</v>
      </c>
      <c r="F168" s="3180"/>
      <c r="G168" s="3180">
        <v>6040</v>
      </c>
    </row>
    <row r="169" spans="1:7" s="3169" customFormat="1" ht="14.25" customHeight="1">
      <c r="A169" s="3180" t="s">
        <v>29</v>
      </c>
      <c r="B169" s="3180" t="s">
        <v>3081</v>
      </c>
      <c r="C169" s="3180"/>
      <c r="D169" s="3180"/>
      <c r="E169" s="3180"/>
      <c r="F169" s="3180">
        <v>2880</v>
      </c>
      <c r="G169" s="3180"/>
    </row>
    <row r="170" spans="1:7" s="3169" customFormat="1" ht="14.25" customHeight="1">
      <c r="A170" s="3180" t="s">
        <v>29</v>
      </c>
      <c r="B170" s="3180" t="s">
        <v>3037</v>
      </c>
      <c r="C170" s="3180"/>
      <c r="D170" s="3180"/>
      <c r="E170" s="3180"/>
      <c r="F170" s="3180">
        <v>2880</v>
      </c>
      <c r="G170" s="3180"/>
    </row>
    <row r="171" spans="1:7" s="3169" customFormat="1" ht="14.25" customHeight="1">
      <c r="A171" s="3180" t="s">
        <v>29</v>
      </c>
      <c r="B171" s="3180" t="s">
        <v>3040</v>
      </c>
      <c r="C171" s="3180"/>
      <c r="D171" s="3180"/>
      <c r="E171" s="3180"/>
      <c r="F171" s="3180">
        <v>2880</v>
      </c>
      <c r="G171" s="3180"/>
    </row>
    <row r="172" spans="1:7" s="3169" customFormat="1" ht="14.25" customHeight="1">
      <c r="A172" s="3180" t="s">
        <v>29</v>
      </c>
      <c r="B172" s="3180" t="s">
        <v>3042</v>
      </c>
      <c r="C172" s="3180"/>
      <c r="D172" s="3180"/>
      <c r="E172" s="3180"/>
      <c r="F172" s="3180">
        <v>2880</v>
      </c>
      <c r="G172" s="3180"/>
    </row>
    <row r="173" spans="1:7" s="3169" customFormat="1" ht="14.25" customHeight="1">
      <c r="A173" s="3180" t="s">
        <v>29</v>
      </c>
      <c r="B173" s="3180" t="s">
        <v>3044</v>
      </c>
      <c r="C173" s="3180"/>
      <c r="D173" s="3180"/>
      <c r="E173" s="3180"/>
      <c r="F173" s="3180">
        <v>2150</v>
      </c>
      <c r="G173" s="3180"/>
    </row>
    <row r="174" spans="1:7" s="3169" customFormat="1" ht="14.25" customHeight="1">
      <c r="A174" s="3180" t="s">
        <v>29</v>
      </c>
      <c r="B174" s="3180" t="s">
        <v>3046</v>
      </c>
      <c r="C174" s="3180"/>
      <c r="D174" s="3180"/>
      <c r="E174" s="3180"/>
      <c r="F174" s="3180">
        <v>2030</v>
      </c>
      <c r="G174" s="3180"/>
    </row>
    <row r="175" spans="1:7" s="3169" customFormat="1" ht="14.25" customHeight="1">
      <c r="A175" s="3180" t="s">
        <v>29</v>
      </c>
      <c r="B175" s="3180" t="s">
        <v>3048</v>
      </c>
      <c r="C175" s="3180"/>
      <c r="D175" s="3180"/>
      <c r="E175" s="3180"/>
      <c r="F175" s="3180">
        <v>2780</v>
      </c>
      <c r="G175" s="3180"/>
    </row>
    <row r="176" spans="1:7" s="3169" customFormat="1" ht="14.25" customHeight="1">
      <c r="A176" s="3180" t="s">
        <v>29</v>
      </c>
      <c r="B176" s="3180" t="s">
        <v>3050</v>
      </c>
      <c r="C176" s="3180"/>
      <c r="D176" s="3180"/>
      <c r="E176" s="3180"/>
      <c r="F176" s="3180">
        <v>2780</v>
      </c>
      <c r="G176" s="3180"/>
    </row>
    <row r="177" spans="1:7" s="3169" customFormat="1" ht="14.25" customHeight="1">
      <c r="A177" s="3180" t="s">
        <v>29</v>
      </c>
      <c r="B177" s="3180" t="s">
        <v>3082</v>
      </c>
      <c r="C177" s="3180"/>
      <c r="D177" s="3180"/>
      <c r="E177" s="3180"/>
      <c r="F177" s="3180">
        <v>2780</v>
      </c>
      <c r="G177" s="3180"/>
    </row>
    <row r="178" spans="1:7" s="3169" customFormat="1" ht="14.25" customHeight="1">
      <c r="A178" s="3180" t="s">
        <v>29</v>
      </c>
      <c r="B178" s="3180" t="s">
        <v>3083</v>
      </c>
      <c r="C178" s="3180"/>
      <c r="D178" s="3180"/>
      <c r="E178" s="3180"/>
      <c r="F178" s="3180">
        <v>2060</v>
      </c>
      <c r="G178" s="3180"/>
    </row>
    <row r="179" spans="1:7" s="3169" customFormat="1" ht="14.25" customHeight="1">
      <c r="A179" s="3180" t="s">
        <v>29</v>
      </c>
      <c r="B179" s="3180" t="s">
        <v>3084</v>
      </c>
      <c r="C179" s="3180"/>
      <c r="D179" s="3180"/>
      <c r="E179" s="3180"/>
      <c r="F179" s="3180">
        <v>2120</v>
      </c>
      <c r="G179" s="3180"/>
    </row>
    <row r="180" spans="1:7" s="3169" customFormat="1" ht="14.25" customHeight="1">
      <c r="A180" s="3180" t="s">
        <v>29</v>
      </c>
      <c r="B180" s="3180" t="s">
        <v>3056</v>
      </c>
      <c r="C180" s="3180"/>
      <c r="D180" s="3180"/>
      <c r="E180" s="3180"/>
      <c r="F180" s="3180">
        <v>2340</v>
      </c>
      <c r="G180" s="3180"/>
    </row>
    <row r="181" spans="1:7" s="3169" customFormat="1" ht="14.25" customHeight="1">
      <c r="A181" s="3180" t="s">
        <v>29</v>
      </c>
      <c r="B181" s="3180" t="s">
        <v>3057</v>
      </c>
      <c r="C181" s="3180"/>
      <c r="D181" s="3180"/>
      <c r="E181" s="3180"/>
      <c r="F181" s="3180">
        <v>2340</v>
      </c>
      <c r="G181" s="3180"/>
    </row>
    <row r="182" spans="1:7" s="3169" customFormat="1" ht="14.25" customHeight="1">
      <c r="A182" s="3180" t="s">
        <v>29</v>
      </c>
      <c r="B182" s="3180" t="s">
        <v>3058</v>
      </c>
      <c r="C182" s="3180"/>
      <c r="D182" s="3180"/>
      <c r="E182" s="3180"/>
      <c r="F182" s="3180">
        <v>2340</v>
      </c>
      <c r="G182" s="3180"/>
    </row>
    <row r="183" spans="1:7" s="3169" customFormat="1" ht="14.25" customHeight="1">
      <c r="A183" s="3180" t="s">
        <v>29</v>
      </c>
      <c r="B183" s="3180" t="s">
        <v>3059</v>
      </c>
      <c r="C183" s="3180"/>
      <c r="D183" s="3180"/>
      <c r="E183" s="3180"/>
      <c r="F183" s="3180">
        <v>2340</v>
      </c>
      <c r="G183" s="3180"/>
    </row>
    <row r="184" spans="1:7" s="3169" customFormat="1" ht="14.25" customHeight="1">
      <c r="A184" s="3180" t="s">
        <v>29</v>
      </c>
      <c r="B184" s="3180" t="s">
        <v>3060</v>
      </c>
      <c r="C184" s="3180"/>
      <c r="D184" s="3180"/>
      <c r="E184" s="3180"/>
      <c r="F184" s="3180">
        <v>2340</v>
      </c>
      <c r="G184" s="3180"/>
    </row>
    <row r="185" spans="1:7" s="3169" customFormat="1" ht="14.25" customHeight="1">
      <c r="A185" s="3180" t="s">
        <v>29</v>
      </c>
      <c r="B185" s="3180" t="s">
        <v>3061</v>
      </c>
      <c r="C185" s="3180"/>
      <c r="D185" s="3180"/>
      <c r="E185" s="3180"/>
      <c r="F185" s="3180">
        <v>2530</v>
      </c>
      <c r="G185" s="3180"/>
    </row>
    <row r="186" spans="1:7" s="3169" customFormat="1" ht="14.25" customHeight="1">
      <c r="A186" s="3180" t="s">
        <v>29</v>
      </c>
      <c r="B186" s="3180" t="s">
        <v>3062</v>
      </c>
      <c r="C186" s="3180"/>
      <c r="D186" s="3180"/>
      <c r="E186" s="3180"/>
      <c r="F186" s="3180">
        <v>2550</v>
      </c>
      <c r="G186" s="3180"/>
    </row>
    <row r="187" spans="1:7" s="3169" customFormat="1" ht="14.25" customHeight="1">
      <c r="A187" s="3180" t="s">
        <v>29</v>
      </c>
      <c r="B187" s="3180" t="s">
        <v>3063</v>
      </c>
      <c r="C187" s="3180"/>
      <c r="D187" s="3180"/>
      <c r="E187" s="3180"/>
      <c r="F187" s="3180">
        <v>2070</v>
      </c>
      <c r="G187" s="3180"/>
    </row>
    <row r="188" spans="1:7" s="3169" customFormat="1" ht="14.25" customHeight="1">
      <c r="A188" s="3180" t="s">
        <v>29</v>
      </c>
      <c r="B188" s="3180" t="s">
        <v>3064</v>
      </c>
      <c r="C188" s="3180"/>
      <c r="D188" s="3180"/>
      <c r="E188" s="3180"/>
      <c r="F188" s="3180">
        <v>2340</v>
      </c>
      <c r="G188" s="3180"/>
    </row>
    <row r="189" spans="1:7" s="3169" customFormat="1" ht="14.25" customHeight="1" thickBot="1">
      <c r="A189" s="3188" t="s">
        <v>29</v>
      </c>
      <c r="B189" s="3191" t="s">
        <v>3065</v>
      </c>
      <c r="C189" s="3191"/>
      <c r="D189" s="3191"/>
      <c r="E189" s="3191"/>
      <c r="F189" s="3191">
        <v>2050</v>
      </c>
      <c r="G189" s="3191"/>
    </row>
    <row r="190" spans="1:7" s="3169" customFormat="1" ht="14.25" customHeight="1">
      <c r="A190" s="3185" t="s">
        <v>304</v>
      </c>
      <c r="B190" s="3176" t="s">
        <v>3085</v>
      </c>
      <c r="C190" s="3176">
        <v>8830</v>
      </c>
      <c r="D190" s="3176">
        <v>8790</v>
      </c>
      <c r="E190" s="3176">
        <v>11630</v>
      </c>
      <c r="F190" s="3176">
        <v>1790</v>
      </c>
      <c r="G190" s="3192">
        <v>5550</v>
      </c>
    </row>
    <row r="191" spans="1:7" s="3169" customFormat="1" ht="14.25" customHeight="1">
      <c r="A191" s="3180" t="s">
        <v>304</v>
      </c>
      <c r="B191" s="3180" t="s">
        <v>133</v>
      </c>
      <c r="C191" s="3180">
        <v>9780</v>
      </c>
      <c r="D191" s="3180">
        <v>9710</v>
      </c>
      <c r="E191" s="3180">
        <v>12550</v>
      </c>
      <c r="F191" s="3180">
        <v>1980</v>
      </c>
      <c r="G191" s="3193">
        <v>6130</v>
      </c>
    </row>
    <row r="192" spans="1:7" s="3169" customFormat="1" ht="14.25" customHeight="1">
      <c r="A192" s="3180" t="s">
        <v>304</v>
      </c>
      <c r="B192" s="3180" t="s">
        <v>142</v>
      </c>
      <c r="C192" s="3180">
        <v>8180</v>
      </c>
      <c r="D192" s="3180">
        <v>8140</v>
      </c>
      <c r="E192" s="3180">
        <v>10870</v>
      </c>
      <c r="F192" s="3180">
        <v>1690</v>
      </c>
      <c r="G192" s="3193">
        <v>5140</v>
      </c>
    </row>
    <row r="193" spans="1:7" s="3169" customFormat="1" ht="14.25" customHeight="1">
      <c r="A193" s="3180" t="s">
        <v>304</v>
      </c>
      <c r="B193" s="3180" t="s">
        <v>151</v>
      </c>
      <c r="C193" s="3180">
        <v>8440</v>
      </c>
      <c r="D193" s="3180">
        <v>8390</v>
      </c>
      <c r="E193" s="3180">
        <v>11210</v>
      </c>
      <c r="F193" s="3180">
        <v>1600</v>
      </c>
      <c r="G193" s="3193">
        <v>5300</v>
      </c>
    </row>
    <row r="194" spans="1:7" s="3169" customFormat="1" ht="14.25" customHeight="1">
      <c r="A194" s="3180" t="s">
        <v>304</v>
      </c>
      <c r="B194" s="3180" t="s">
        <v>160</v>
      </c>
      <c r="C194" s="3180">
        <v>8780</v>
      </c>
      <c r="D194" s="3180">
        <v>8730</v>
      </c>
      <c r="E194" s="3180">
        <v>11550</v>
      </c>
      <c r="F194" s="3180">
        <v>1660</v>
      </c>
      <c r="G194" s="3193">
        <v>5520</v>
      </c>
    </row>
    <row r="195" spans="1:7" s="3169" customFormat="1" ht="14.25" customHeight="1">
      <c r="A195" s="3180" t="s">
        <v>304</v>
      </c>
      <c r="B195" s="3180" t="s">
        <v>167</v>
      </c>
      <c r="C195" s="3180">
        <v>8720</v>
      </c>
      <c r="D195" s="3180">
        <v>8670</v>
      </c>
      <c r="E195" s="3180">
        <v>11450</v>
      </c>
      <c r="F195" s="3180">
        <v>1720</v>
      </c>
      <c r="G195" s="3193">
        <v>5480</v>
      </c>
    </row>
    <row r="196" spans="1:7" s="3169" customFormat="1" ht="14.25" customHeight="1">
      <c r="A196" s="3180" t="s">
        <v>304</v>
      </c>
      <c r="B196" s="3180" t="s">
        <v>173</v>
      </c>
      <c r="C196" s="3180">
        <v>8460</v>
      </c>
      <c r="D196" s="3180">
        <v>8410</v>
      </c>
      <c r="E196" s="3180">
        <v>11230</v>
      </c>
      <c r="F196" s="3180">
        <v>1730</v>
      </c>
      <c r="G196" s="3193">
        <v>5310</v>
      </c>
    </row>
    <row r="197" spans="1:7" s="3169" customFormat="1" ht="14.25" customHeight="1">
      <c r="A197" s="3180" t="s">
        <v>304</v>
      </c>
      <c r="B197" s="3180" t="s">
        <v>180</v>
      </c>
      <c r="C197" s="3180">
        <v>8790</v>
      </c>
      <c r="D197" s="3180">
        <v>8730</v>
      </c>
      <c r="E197" s="3180">
        <v>11560</v>
      </c>
      <c r="F197" s="3180">
        <v>1750</v>
      </c>
      <c r="G197" s="3193">
        <v>5520</v>
      </c>
    </row>
    <row r="198" spans="1:7" s="3169" customFormat="1" ht="14.25" customHeight="1">
      <c r="A198" s="3180" t="s">
        <v>304</v>
      </c>
      <c r="B198" s="3180" t="s">
        <v>190</v>
      </c>
      <c r="C198" s="3180">
        <v>8720</v>
      </c>
      <c r="D198" s="3180">
        <v>8680</v>
      </c>
      <c r="E198" s="3180">
        <v>11470</v>
      </c>
      <c r="F198" s="3180"/>
      <c r="G198" s="3193">
        <v>5480</v>
      </c>
    </row>
    <row r="199" spans="1:7" s="3169" customFormat="1" ht="14.25" customHeight="1">
      <c r="A199" s="3180" t="s">
        <v>304</v>
      </c>
      <c r="B199" s="3180" t="s">
        <v>3086</v>
      </c>
      <c r="C199" s="3180">
        <v>8690</v>
      </c>
      <c r="D199" s="3180">
        <v>8630</v>
      </c>
      <c r="E199" s="3180">
        <v>11350</v>
      </c>
      <c r="F199" s="3180">
        <v>1600</v>
      </c>
      <c r="G199" s="3193">
        <v>5450</v>
      </c>
    </row>
    <row r="200" spans="1:7" s="3169" customFormat="1" ht="14.25" customHeight="1">
      <c r="A200" s="3180" t="s">
        <v>304</v>
      </c>
      <c r="B200" s="3180" t="s">
        <v>2897</v>
      </c>
      <c r="C200" s="3180"/>
      <c r="D200" s="3180"/>
      <c r="E200" s="3180"/>
      <c r="F200" s="3180">
        <v>1510</v>
      </c>
      <c r="G200" s="3193"/>
    </row>
    <row r="201" spans="1:7" s="3169" customFormat="1" ht="14.25" customHeight="1">
      <c r="A201" s="3180" t="s">
        <v>304</v>
      </c>
      <c r="B201" s="3180" t="s">
        <v>3087</v>
      </c>
      <c r="C201" s="3180">
        <v>8440</v>
      </c>
      <c r="D201" s="3180">
        <v>8390</v>
      </c>
      <c r="E201" s="3180">
        <v>10930</v>
      </c>
      <c r="F201" s="3180">
        <v>1500</v>
      </c>
      <c r="G201" s="3193">
        <v>5300</v>
      </c>
    </row>
    <row r="202" spans="1:7" s="3169" customFormat="1" ht="14.25" customHeight="1">
      <c r="A202" s="3180" t="s">
        <v>304</v>
      </c>
      <c r="B202" s="3180" t="s">
        <v>240</v>
      </c>
      <c r="C202" s="3180">
        <v>8530</v>
      </c>
      <c r="D202" s="3180">
        <v>8490</v>
      </c>
      <c r="E202" s="3180">
        <v>11160</v>
      </c>
      <c r="F202" s="3180">
        <v>1580</v>
      </c>
      <c r="G202" s="3193">
        <v>5360</v>
      </c>
    </row>
    <row r="203" spans="1:7" s="3169" customFormat="1" ht="14.25" customHeight="1">
      <c r="A203" s="3180" t="s">
        <v>304</v>
      </c>
      <c r="B203" s="3180" t="s">
        <v>3088</v>
      </c>
      <c r="C203" s="3180">
        <v>8130</v>
      </c>
      <c r="D203" s="3180">
        <v>8070</v>
      </c>
      <c r="E203" s="3180">
        <v>10820</v>
      </c>
      <c r="F203" s="3180">
        <v>1690</v>
      </c>
      <c r="G203" s="3193">
        <v>5100</v>
      </c>
    </row>
    <row r="204" spans="1:7" s="3169" customFormat="1" ht="14.25" customHeight="1">
      <c r="A204" s="3180" t="s">
        <v>304</v>
      </c>
      <c r="B204" s="3180" t="s">
        <v>2908</v>
      </c>
      <c r="C204" s="3180">
        <v>8350</v>
      </c>
      <c r="D204" s="3180">
        <v>8290</v>
      </c>
      <c r="E204" s="3180">
        <v>11080</v>
      </c>
      <c r="F204" s="3180">
        <v>1450</v>
      </c>
      <c r="G204" s="3193">
        <v>5240</v>
      </c>
    </row>
    <row r="205" spans="1:7" s="3169" customFormat="1" ht="14.25" customHeight="1">
      <c r="A205" s="3180" t="s">
        <v>304</v>
      </c>
      <c r="B205" s="3180" t="s">
        <v>2910</v>
      </c>
      <c r="C205" s="3180">
        <v>7190</v>
      </c>
      <c r="D205" s="3180">
        <v>7130</v>
      </c>
      <c r="E205" s="3180">
        <v>9490</v>
      </c>
      <c r="F205" s="3180">
        <v>1470</v>
      </c>
      <c r="G205" s="3193">
        <v>4510</v>
      </c>
    </row>
    <row r="206" spans="1:7" s="3169" customFormat="1" ht="14.25" customHeight="1">
      <c r="A206" s="3180" t="s">
        <v>304</v>
      </c>
      <c r="B206" s="3180" t="s">
        <v>2913</v>
      </c>
      <c r="C206" s="3180">
        <v>7000</v>
      </c>
      <c r="D206" s="3180">
        <v>6950</v>
      </c>
      <c r="E206" s="3180">
        <v>9170</v>
      </c>
      <c r="F206" s="3180">
        <v>1400</v>
      </c>
      <c r="G206" s="3193">
        <v>4380</v>
      </c>
    </row>
    <row r="207" spans="1:7" s="3169" customFormat="1" ht="14.25" customHeight="1">
      <c r="A207" s="3180" t="s">
        <v>304</v>
      </c>
      <c r="B207" s="3180" t="s">
        <v>2915</v>
      </c>
      <c r="C207" s="3180">
        <v>6950</v>
      </c>
      <c r="D207" s="3180">
        <v>6900</v>
      </c>
      <c r="E207" s="3180">
        <v>9110</v>
      </c>
      <c r="F207" s="3180">
        <v>1790</v>
      </c>
      <c r="G207" s="3193">
        <v>4360</v>
      </c>
    </row>
    <row r="208" spans="1:7" s="3169" customFormat="1" ht="14.25" customHeight="1">
      <c r="A208" s="3180" t="s">
        <v>304</v>
      </c>
      <c r="B208" s="3180" t="s">
        <v>3089</v>
      </c>
      <c r="C208" s="3180">
        <v>9470</v>
      </c>
      <c r="D208" s="3180">
        <v>9410</v>
      </c>
      <c r="E208" s="3180">
        <v>12330</v>
      </c>
      <c r="F208" s="3180">
        <v>1770</v>
      </c>
      <c r="G208" s="3193">
        <v>5940</v>
      </c>
    </row>
    <row r="209" spans="1:7" s="3169" customFormat="1" ht="14.25" customHeight="1">
      <c r="A209" s="3180" t="s">
        <v>304</v>
      </c>
      <c r="B209" s="3180" t="s">
        <v>264</v>
      </c>
      <c r="C209" s="3180">
        <v>8740</v>
      </c>
      <c r="D209" s="3180">
        <v>8700</v>
      </c>
      <c r="E209" s="3180">
        <v>11500</v>
      </c>
      <c r="F209" s="3180">
        <v>1730</v>
      </c>
      <c r="G209" s="3193">
        <v>5490</v>
      </c>
    </row>
    <row r="210" spans="1:7" s="3169" customFormat="1" ht="14.25" customHeight="1">
      <c r="A210" s="3180" t="s">
        <v>304</v>
      </c>
      <c r="B210" s="3180" t="s">
        <v>2925</v>
      </c>
      <c r="C210" s="3180">
        <v>8710</v>
      </c>
      <c r="D210" s="3180">
        <v>8660</v>
      </c>
      <c r="E210" s="3180">
        <v>11440</v>
      </c>
      <c r="F210" s="3180">
        <v>1740</v>
      </c>
      <c r="G210" s="3193">
        <v>5470</v>
      </c>
    </row>
    <row r="211" spans="1:7" s="3169" customFormat="1" ht="14.25" customHeight="1">
      <c r="A211" s="3180" t="s">
        <v>304</v>
      </c>
      <c r="B211" s="3180" t="s">
        <v>3090</v>
      </c>
      <c r="C211" s="3180">
        <v>9480</v>
      </c>
      <c r="D211" s="3180">
        <v>9430</v>
      </c>
      <c r="E211" s="3180">
        <v>12360</v>
      </c>
      <c r="F211" s="3180">
        <v>1820</v>
      </c>
      <c r="G211" s="3193">
        <v>5950</v>
      </c>
    </row>
    <row r="212" spans="1:7" s="3169" customFormat="1" ht="14.25" customHeight="1">
      <c r="A212" s="3180" t="s">
        <v>304</v>
      </c>
      <c r="B212" s="3180" t="s">
        <v>285</v>
      </c>
      <c r="C212" s="3180">
        <v>9070</v>
      </c>
      <c r="D212" s="3180">
        <v>9020</v>
      </c>
      <c r="E212" s="3180">
        <v>11720</v>
      </c>
      <c r="F212" s="3180">
        <v>1850</v>
      </c>
      <c r="G212" s="3193">
        <v>5700</v>
      </c>
    </row>
    <row r="213" spans="1:7" s="3169" customFormat="1" ht="14.25" customHeight="1">
      <c r="A213" s="3180" t="s">
        <v>304</v>
      </c>
      <c r="B213" s="3180" t="s">
        <v>288</v>
      </c>
      <c r="C213" s="3180">
        <v>9030</v>
      </c>
      <c r="D213" s="3180">
        <v>8980</v>
      </c>
      <c r="E213" s="3180">
        <v>11670</v>
      </c>
      <c r="F213" s="3180">
        <v>1690</v>
      </c>
      <c r="G213" s="3193">
        <v>5670</v>
      </c>
    </row>
    <row r="214" spans="1:7" s="3169" customFormat="1" ht="14.25" customHeight="1">
      <c r="A214" s="3180" t="s">
        <v>304</v>
      </c>
      <c r="B214" s="3180" t="s">
        <v>3091</v>
      </c>
      <c r="C214" s="3180">
        <v>8090</v>
      </c>
      <c r="D214" s="3180">
        <v>8030</v>
      </c>
      <c r="E214" s="3180">
        <v>10780</v>
      </c>
      <c r="F214" s="3180">
        <v>1570</v>
      </c>
      <c r="G214" s="3193">
        <v>5070</v>
      </c>
    </row>
    <row r="215" spans="1:7" s="3169" customFormat="1" ht="14.25" customHeight="1">
      <c r="A215" s="3180" t="s">
        <v>304</v>
      </c>
      <c r="B215" s="3180" t="s">
        <v>3092</v>
      </c>
      <c r="C215" s="3180">
        <v>7950</v>
      </c>
      <c r="D215" s="3180">
        <v>7900</v>
      </c>
      <c r="E215" s="3180">
        <v>10560</v>
      </c>
      <c r="F215" s="3180">
        <v>1630</v>
      </c>
      <c r="G215" s="3193">
        <v>4990</v>
      </c>
    </row>
    <row r="216" spans="1:7" s="3169" customFormat="1" ht="14.25" customHeight="1">
      <c r="A216" s="3180" t="s">
        <v>304</v>
      </c>
      <c r="B216" s="3180" t="s">
        <v>3093</v>
      </c>
      <c r="C216" s="3180">
        <v>8490</v>
      </c>
      <c r="D216" s="3180">
        <v>8440</v>
      </c>
      <c r="E216" s="3180">
        <v>11260</v>
      </c>
      <c r="F216" s="3180">
        <v>1690</v>
      </c>
      <c r="G216" s="3193">
        <v>5330</v>
      </c>
    </row>
    <row r="217" spans="1:7" s="3169" customFormat="1" ht="14.25" customHeight="1">
      <c r="A217" s="3180" t="s">
        <v>304</v>
      </c>
      <c r="B217" s="3180" t="s">
        <v>2958</v>
      </c>
      <c r="C217" s="3180">
        <v>8200</v>
      </c>
      <c r="D217" s="3180">
        <v>8150</v>
      </c>
      <c r="E217" s="3180">
        <v>10910</v>
      </c>
      <c r="F217" s="3180">
        <v>1670</v>
      </c>
      <c r="G217" s="3193">
        <v>5150</v>
      </c>
    </row>
    <row r="218" spans="1:7" s="3169" customFormat="1" ht="14.25" customHeight="1">
      <c r="A218" s="3180" t="s">
        <v>304</v>
      </c>
      <c r="B218" s="3180" t="s">
        <v>3094</v>
      </c>
      <c r="C218" s="3180"/>
      <c r="D218" s="3180"/>
      <c r="E218" s="3180"/>
      <c r="F218" s="3180">
        <v>2040</v>
      </c>
      <c r="G218" s="3193"/>
    </row>
    <row r="219" spans="1:7" s="3169" customFormat="1" ht="14.25" customHeight="1">
      <c r="A219" s="3180" t="s">
        <v>304</v>
      </c>
      <c r="B219" s="3180" t="s">
        <v>3095</v>
      </c>
      <c r="C219" s="3180"/>
      <c r="D219" s="3180"/>
      <c r="E219" s="3180"/>
      <c r="F219" s="3180">
        <v>2040</v>
      </c>
      <c r="G219" s="3193"/>
    </row>
    <row r="220" spans="1:7" s="3169" customFormat="1" ht="14.25" customHeight="1">
      <c r="A220" s="3180" t="s">
        <v>304</v>
      </c>
      <c r="B220" s="3180" t="s">
        <v>3096</v>
      </c>
      <c r="C220" s="3180"/>
      <c r="D220" s="3180"/>
      <c r="E220" s="3180"/>
      <c r="F220" s="3180">
        <v>2040</v>
      </c>
      <c r="G220" s="3193"/>
    </row>
    <row r="221" spans="1:7" s="3169" customFormat="1" ht="14.25" customHeight="1">
      <c r="A221" s="3180" t="s">
        <v>304</v>
      </c>
      <c r="B221" s="3180" t="s">
        <v>3097</v>
      </c>
      <c r="C221" s="3180"/>
      <c r="D221" s="3180"/>
      <c r="E221" s="3180"/>
      <c r="F221" s="3180">
        <v>2040</v>
      </c>
      <c r="G221" s="3193"/>
    </row>
    <row r="222" spans="1:7" s="3169" customFormat="1" ht="14.25" customHeight="1">
      <c r="A222" s="3180" t="s">
        <v>304</v>
      </c>
      <c r="B222" s="3180" t="s">
        <v>3098</v>
      </c>
      <c r="C222" s="3180"/>
      <c r="D222" s="3180"/>
      <c r="E222" s="3180"/>
      <c r="F222" s="3180">
        <v>2040</v>
      </c>
      <c r="G222" s="3193"/>
    </row>
    <row r="223" spans="1:7" s="3169" customFormat="1" ht="14.25" customHeight="1">
      <c r="A223" s="3180" t="s">
        <v>304</v>
      </c>
      <c r="B223" s="3180" t="s">
        <v>3099</v>
      </c>
      <c r="C223" s="3180"/>
      <c r="D223" s="3180"/>
      <c r="E223" s="3180"/>
      <c r="F223" s="3180">
        <v>1930</v>
      </c>
      <c r="G223" s="3193"/>
    </row>
    <row r="224" spans="1:7" s="3169" customFormat="1" ht="14.25" customHeight="1">
      <c r="A224" s="3180" t="s">
        <v>304</v>
      </c>
      <c r="B224" s="3180" t="s">
        <v>3100</v>
      </c>
      <c r="C224" s="3180"/>
      <c r="D224" s="3180"/>
      <c r="E224" s="3180"/>
      <c r="F224" s="3180">
        <v>1930</v>
      </c>
      <c r="G224" s="3193"/>
    </row>
    <row r="225" spans="1:7" s="3169" customFormat="1" ht="14.25" customHeight="1">
      <c r="A225" s="3180" t="s">
        <v>304</v>
      </c>
      <c r="B225" s="3180" t="s">
        <v>3101</v>
      </c>
      <c r="C225" s="3180"/>
      <c r="D225" s="3180"/>
      <c r="E225" s="3180"/>
      <c r="F225" s="3180">
        <v>1930</v>
      </c>
      <c r="G225" s="3193"/>
    </row>
    <row r="226" spans="1:7" s="3169" customFormat="1" ht="14.25" customHeight="1">
      <c r="A226" s="3180" t="s">
        <v>304</v>
      </c>
      <c r="B226" s="3180" t="s">
        <v>3102</v>
      </c>
      <c r="C226" s="3180"/>
      <c r="D226" s="3180"/>
      <c r="E226" s="3180"/>
      <c r="F226" s="3180">
        <v>1700</v>
      </c>
      <c r="G226" s="3193"/>
    </row>
    <row r="227" spans="1:7" s="3169" customFormat="1" ht="14.25" customHeight="1">
      <c r="A227" s="3180" t="s">
        <v>304</v>
      </c>
      <c r="B227" s="3180" t="s">
        <v>3103</v>
      </c>
      <c r="C227" s="3180"/>
      <c r="D227" s="3180"/>
      <c r="E227" s="3180"/>
      <c r="F227" s="3180">
        <v>1520</v>
      </c>
      <c r="G227" s="3193"/>
    </row>
    <row r="228" spans="1:7" s="3169" customFormat="1" ht="14.25" customHeight="1">
      <c r="A228" s="3180" t="s">
        <v>304</v>
      </c>
      <c r="B228" s="3180" t="s">
        <v>3104</v>
      </c>
      <c r="C228" s="3180"/>
      <c r="D228" s="3180"/>
      <c r="E228" s="3180"/>
      <c r="F228" s="3180">
        <v>1520</v>
      </c>
      <c r="G228" s="3193"/>
    </row>
    <row r="229" spans="1:7" s="3169" customFormat="1" ht="14.25" customHeight="1">
      <c r="A229" s="3180" t="s">
        <v>304</v>
      </c>
      <c r="B229" s="3180" t="s">
        <v>3021</v>
      </c>
      <c r="C229" s="3180"/>
      <c r="D229" s="3180"/>
      <c r="E229" s="3180"/>
      <c r="F229" s="3180">
        <v>1520</v>
      </c>
      <c r="G229" s="3193"/>
    </row>
    <row r="230" spans="1:7" s="3169" customFormat="1" ht="14.25" customHeight="1">
      <c r="A230" s="3180" t="s">
        <v>304</v>
      </c>
      <c r="B230" s="3180" t="s">
        <v>3105</v>
      </c>
      <c r="C230" s="3180"/>
      <c r="D230" s="3180"/>
      <c r="E230" s="3180"/>
      <c r="F230" s="3180">
        <v>1820</v>
      </c>
      <c r="G230" s="3193"/>
    </row>
    <row r="231" spans="1:7" s="3169" customFormat="1" ht="14.25" customHeight="1">
      <c r="A231" s="3180" t="s">
        <v>304</v>
      </c>
      <c r="B231" s="3180" t="s">
        <v>3106</v>
      </c>
      <c r="C231" s="3180"/>
      <c r="D231" s="3180"/>
      <c r="E231" s="3180"/>
      <c r="F231" s="3180">
        <v>1760</v>
      </c>
      <c r="G231" s="3193"/>
    </row>
    <row r="232" spans="1:7" s="3169" customFormat="1" ht="14.25" customHeight="1">
      <c r="A232" s="3180" t="s">
        <v>304</v>
      </c>
      <c r="B232" s="3180" t="s">
        <v>3107</v>
      </c>
      <c r="C232" s="3180"/>
      <c r="D232" s="3180"/>
      <c r="E232" s="3180"/>
      <c r="F232" s="3180">
        <v>1840</v>
      </c>
      <c r="G232" s="3193"/>
    </row>
    <row r="233" spans="1:7" s="3169" customFormat="1" ht="14.25" customHeight="1" thickBot="1">
      <c r="A233" s="3194" t="s">
        <v>304</v>
      </c>
      <c r="B233" s="3187" t="s">
        <v>3038</v>
      </c>
      <c r="C233" s="3187"/>
      <c r="D233" s="3187"/>
      <c r="E233" s="3187"/>
      <c r="F233" s="3187">
        <v>1770</v>
      </c>
      <c r="G233" s="3195"/>
    </row>
    <row r="234" spans="1:7" s="3169" customFormat="1" ht="14.25" customHeight="1">
      <c r="A234" s="3185" t="s">
        <v>305</v>
      </c>
      <c r="B234" s="3176" t="s">
        <v>3108</v>
      </c>
      <c r="C234" s="3180">
        <v>6980</v>
      </c>
      <c r="D234" s="3180">
        <v>6970</v>
      </c>
      <c r="E234" s="3180">
        <v>8720</v>
      </c>
      <c r="F234" s="3180">
        <v>1350</v>
      </c>
      <c r="G234" s="3180">
        <v>4280</v>
      </c>
    </row>
    <row r="235" spans="1:7" s="3169" customFormat="1" ht="14.25" customHeight="1">
      <c r="A235" s="3180" t="s">
        <v>305</v>
      </c>
      <c r="B235" s="3180" t="s">
        <v>134</v>
      </c>
      <c r="C235" s="3180">
        <v>7620</v>
      </c>
      <c r="D235" s="3180">
        <v>7580</v>
      </c>
      <c r="E235" s="3180">
        <v>9360</v>
      </c>
      <c r="F235" s="3180">
        <v>1490</v>
      </c>
      <c r="G235" s="3180">
        <v>4650</v>
      </c>
    </row>
    <row r="236" spans="1:7" s="3169" customFormat="1" ht="14.25" customHeight="1">
      <c r="A236" s="3180" t="s">
        <v>305</v>
      </c>
      <c r="B236" s="3180" t="s">
        <v>143</v>
      </c>
      <c r="C236" s="3180">
        <v>6650</v>
      </c>
      <c r="D236" s="3180">
        <v>6630</v>
      </c>
      <c r="E236" s="3180">
        <v>8330</v>
      </c>
      <c r="F236" s="3180">
        <v>1250</v>
      </c>
      <c r="G236" s="3180">
        <v>4070</v>
      </c>
    </row>
    <row r="237" spans="1:7" s="3169" customFormat="1" ht="14.25" customHeight="1">
      <c r="A237" s="3180" t="s">
        <v>305</v>
      </c>
      <c r="B237" s="3180" t="s">
        <v>152</v>
      </c>
      <c r="C237" s="3180">
        <v>5850</v>
      </c>
      <c r="D237" s="3180">
        <v>5820</v>
      </c>
      <c r="E237" s="3180">
        <v>7260</v>
      </c>
      <c r="F237" s="3180">
        <v>1140</v>
      </c>
      <c r="G237" s="3180">
        <v>3570</v>
      </c>
    </row>
    <row r="238" spans="1:7" s="3169" customFormat="1" ht="14.25" customHeight="1">
      <c r="A238" s="3180" t="s">
        <v>305</v>
      </c>
      <c r="B238" s="3180" t="s">
        <v>2879</v>
      </c>
      <c r="C238" s="3180">
        <v>6920</v>
      </c>
      <c r="D238" s="3180">
        <v>6890</v>
      </c>
      <c r="E238" s="3180">
        <v>8640</v>
      </c>
      <c r="F238" s="3180">
        <v>1310</v>
      </c>
      <c r="G238" s="3180">
        <v>4230</v>
      </c>
    </row>
    <row r="239" spans="1:7" s="3169" customFormat="1" ht="14.25" customHeight="1">
      <c r="A239" s="3180" t="s">
        <v>305</v>
      </c>
      <c r="B239" s="3180" t="s">
        <v>3109</v>
      </c>
      <c r="C239" s="3180">
        <v>6780</v>
      </c>
      <c r="D239" s="3180">
        <v>6750</v>
      </c>
      <c r="E239" s="3180">
        <v>8440</v>
      </c>
      <c r="F239" s="3180">
        <v>1160</v>
      </c>
      <c r="G239" s="3180">
        <v>4140</v>
      </c>
    </row>
    <row r="240" spans="1:7" s="3169" customFormat="1" ht="14.25" customHeight="1">
      <c r="A240" s="3180" t="s">
        <v>305</v>
      </c>
      <c r="B240" s="3180" t="s">
        <v>3110</v>
      </c>
      <c r="C240" s="3180">
        <v>5420</v>
      </c>
      <c r="D240" s="3180">
        <v>5380</v>
      </c>
      <c r="E240" s="3180">
        <v>6640</v>
      </c>
      <c r="F240" s="3180">
        <v>1020</v>
      </c>
      <c r="G240" s="3180">
        <v>3300</v>
      </c>
    </row>
    <row r="241" spans="1:7" s="3169" customFormat="1" ht="14.25" customHeight="1">
      <c r="A241" s="3180" t="s">
        <v>305</v>
      </c>
      <c r="B241" s="3180" t="s">
        <v>3111</v>
      </c>
      <c r="C241" s="3180">
        <v>6660</v>
      </c>
      <c r="D241" s="3180">
        <v>6640</v>
      </c>
      <c r="E241" s="3180">
        <v>8340</v>
      </c>
      <c r="F241" s="3180">
        <v>1130</v>
      </c>
      <c r="G241" s="3180">
        <v>4080</v>
      </c>
    </row>
    <row r="242" spans="1:7" s="3169" customFormat="1" ht="14.25" customHeight="1">
      <c r="A242" s="3180" t="s">
        <v>305</v>
      </c>
      <c r="B242" s="3180" t="s">
        <v>181</v>
      </c>
      <c r="C242" s="3180">
        <v>6580</v>
      </c>
      <c r="D242" s="3180">
        <v>6550</v>
      </c>
      <c r="E242" s="3180">
        <v>8090</v>
      </c>
      <c r="F242" s="3180">
        <v>1240</v>
      </c>
      <c r="G242" s="3180">
        <v>4020</v>
      </c>
    </row>
    <row r="243" spans="1:7" s="3169" customFormat="1" ht="14.25" customHeight="1">
      <c r="A243" s="3180" t="s">
        <v>305</v>
      </c>
      <c r="B243" s="3180" t="s">
        <v>191</v>
      </c>
      <c r="C243" s="3180">
        <v>6000</v>
      </c>
      <c r="D243" s="3180">
        <v>5970</v>
      </c>
      <c r="E243" s="3180">
        <v>7370</v>
      </c>
      <c r="F243" s="3180">
        <v>1070</v>
      </c>
      <c r="G243" s="3180">
        <v>3670</v>
      </c>
    </row>
    <row r="244" spans="1:7" s="3169" customFormat="1" ht="14.25" customHeight="1">
      <c r="A244" s="3180" t="s">
        <v>305</v>
      </c>
      <c r="B244" s="3180" t="s">
        <v>3112</v>
      </c>
      <c r="C244" s="3180">
        <v>5840</v>
      </c>
      <c r="D244" s="3180">
        <v>5810</v>
      </c>
      <c r="E244" s="3180">
        <v>7240</v>
      </c>
      <c r="F244" s="3180">
        <v>1100</v>
      </c>
      <c r="G244" s="3180">
        <v>3560</v>
      </c>
    </row>
    <row r="245" spans="1:7" s="3169" customFormat="1" ht="14.25" customHeight="1">
      <c r="A245" s="3180" t="s">
        <v>305</v>
      </c>
      <c r="B245" s="3180" t="s">
        <v>206</v>
      </c>
      <c r="C245" s="3180">
        <v>6040</v>
      </c>
      <c r="D245" s="3180">
        <v>6000</v>
      </c>
      <c r="E245" s="3180">
        <v>7420</v>
      </c>
      <c r="F245" s="3180">
        <v>1140</v>
      </c>
      <c r="G245" s="3180">
        <v>3690</v>
      </c>
    </row>
    <row r="246" spans="1:7" s="3169" customFormat="1" ht="14.25" customHeight="1">
      <c r="A246" s="3180" t="s">
        <v>305</v>
      </c>
      <c r="B246" s="3180" t="s">
        <v>213</v>
      </c>
      <c r="C246" s="3180">
        <v>5890</v>
      </c>
      <c r="D246" s="3180">
        <v>5860</v>
      </c>
      <c r="E246" s="3180">
        <v>7300</v>
      </c>
      <c r="F246" s="3180">
        <v>1110</v>
      </c>
      <c r="G246" s="3180">
        <v>3590</v>
      </c>
    </row>
    <row r="247" spans="1:7" s="3169" customFormat="1" ht="14.25" customHeight="1">
      <c r="A247" s="3180" t="s">
        <v>305</v>
      </c>
      <c r="B247" s="3180" t="s">
        <v>3113</v>
      </c>
      <c r="C247" s="3180">
        <v>6480</v>
      </c>
      <c r="D247" s="3180">
        <v>6450</v>
      </c>
      <c r="E247" s="3180">
        <v>8010</v>
      </c>
      <c r="F247" s="3180">
        <v>1170</v>
      </c>
      <c r="G247" s="3180">
        <v>3960</v>
      </c>
    </row>
    <row r="248" spans="1:7" s="3169" customFormat="1" ht="14.25" customHeight="1">
      <c r="A248" s="3180" t="s">
        <v>305</v>
      </c>
      <c r="B248" s="3180" t="s">
        <v>227</v>
      </c>
      <c r="C248" s="3180">
        <v>6860</v>
      </c>
      <c r="D248" s="3180">
        <v>6840</v>
      </c>
      <c r="E248" s="3180">
        <v>8520</v>
      </c>
      <c r="F248" s="3180">
        <v>1240</v>
      </c>
      <c r="G248" s="3180">
        <v>4200</v>
      </c>
    </row>
    <row r="249" spans="1:7" s="3169" customFormat="1" ht="14.25" customHeight="1">
      <c r="A249" s="3180" t="s">
        <v>305</v>
      </c>
      <c r="B249" s="3180" t="s">
        <v>3114</v>
      </c>
      <c r="C249" s="3180">
        <v>7180</v>
      </c>
      <c r="D249" s="3180">
        <v>7140</v>
      </c>
      <c r="E249" s="3180">
        <v>8900</v>
      </c>
      <c r="F249" s="3180">
        <v>1350</v>
      </c>
      <c r="G249" s="3180">
        <v>4380</v>
      </c>
    </row>
    <row r="250" spans="1:7" s="3169" customFormat="1" ht="14.25" customHeight="1">
      <c r="A250" s="3180" t="s">
        <v>305</v>
      </c>
      <c r="B250" s="3180" t="s">
        <v>241</v>
      </c>
      <c r="C250" s="3180">
        <v>6880</v>
      </c>
      <c r="D250" s="3180">
        <v>6860</v>
      </c>
      <c r="E250" s="3180">
        <v>8550</v>
      </c>
      <c r="F250" s="3180">
        <v>1220</v>
      </c>
      <c r="G250" s="3180">
        <v>4210</v>
      </c>
    </row>
    <row r="251" spans="1:7" s="3169" customFormat="1" ht="14.25" customHeight="1">
      <c r="A251" s="3180" t="s">
        <v>305</v>
      </c>
      <c r="B251" s="3180" t="s">
        <v>249</v>
      </c>
      <c r="C251" s="3180"/>
      <c r="D251" s="3180"/>
      <c r="E251" s="3180"/>
      <c r="F251" s="3180">
        <v>1100</v>
      </c>
      <c r="G251" s="3180"/>
    </row>
    <row r="252" spans="1:7" s="3169" customFormat="1" ht="14.25" customHeight="1">
      <c r="A252" s="3180" t="s">
        <v>305</v>
      </c>
      <c r="B252" s="3180" t="s">
        <v>3115</v>
      </c>
      <c r="C252" s="3180">
        <v>7240</v>
      </c>
      <c r="D252" s="3180">
        <v>7200</v>
      </c>
      <c r="E252" s="3180">
        <v>9040</v>
      </c>
      <c r="F252" s="3180">
        <v>1380</v>
      </c>
      <c r="G252" s="3180">
        <v>4420</v>
      </c>
    </row>
    <row r="253" spans="1:7" s="3169" customFormat="1" ht="14.25" customHeight="1">
      <c r="A253" s="3180" t="s">
        <v>305</v>
      </c>
      <c r="B253" s="3180" t="s">
        <v>283</v>
      </c>
      <c r="C253" s="3180">
        <v>6670</v>
      </c>
      <c r="D253" s="3180">
        <v>6650</v>
      </c>
      <c r="E253" s="3180">
        <v>8350</v>
      </c>
      <c r="F253" s="3180">
        <v>1260</v>
      </c>
      <c r="G253" s="3180">
        <v>4080</v>
      </c>
    </row>
    <row r="254" spans="1:7" s="3169" customFormat="1" ht="14.25" customHeight="1">
      <c r="A254" s="3180" t="s">
        <v>305</v>
      </c>
      <c r="B254" s="3180" t="s">
        <v>286</v>
      </c>
      <c r="C254" s="3180">
        <v>7630</v>
      </c>
      <c r="D254" s="3180">
        <v>7590</v>
      </c>
      <c r="E254" s="3180">
        <v>9380</v>
      </c>
      <c r="F254" s="3180">
        <v>1320</v>
      </c>
      <c r="G254" s="3180">
        <v>4660</v>
      </c>
    </row>
    <row r="255" spans="1:7" s="3169" customFormat="1" ht="14.25" customHeight="1">
      <c r="A255" s="3180" t="s">
        <v>305</v>
      </c>
      <c r="B255" s="3180" t="s">
        <v>289</v>
      </c>
      <c r="C255" s="3180">
        <v>6940</v>
      </c>
      <c r="D255" s="3180">
        <v>6890</v>
      </c>
      <c r="E255" s="3180">
        <v>8650</v>
      </c>
      <c r="F255" s="3180">
        <v>1210</v>
      </c>
      <c r="G255" s="3180">
        <v>4230</v>
      </c>
    </row>
    <row r="256" spans="1:7" s="3169" customFormat="1" ht="14.25" customHeight="1">
      <c r="A256" s="3180" t="s">
        <v>305</v>
      </c>
      <c r="B256" s="3180" t="s">
        <v>3116</v>
      </c>
      <c r="C256" s="3180">
        <v>7520</v>
      </c>
      <c r="D256" s="3180">
        <v>7490</v>
      </c>
      <c r="E256" s="3180">
        <v>9240</v>
      </c>
      <c r="F256" s="3180">
        <v>1270</v>
      </c>
      <c r="G256" s="3180">
        <v>4590</v>
      </c>
    </row>
    <row r="257" spans="1:7" s="3169" customFormat="1" ht="14.25" customHeight="1">
      <c r="A257" s="3180" t="s">
        <v>305</v>
      </c>
      <c r="B257" s="3180" t="s">
        <v>275</v>
      </c>
      <c r="C257" s="3180">
        <v>6280</v>
      </c>
      <c r="D257" s="3180">
        <v>6230</v>
      </c>
      <c r="E257" s="3180">
        <v>7740</v>
      </c>
      <c r="F257" s="3180">
        <v>1080</v>
      </c>
      <c r="G257" s="3180">
        <v>3830</v>
      </c>
    </row>
    <row r="258" spans="1:7" s="3169" customFormat="1" ht="14.25" customHeight="1">
      <c r="A258" s="3180" t="s">
        <v>305</v>
      </c>
      <c r="B258" s="3180" t="s">
        <v>2941</v>
      </c>
      <c r="C258" s="3180">
        <v>6190</v>
      </c>
      <c r="D258" s="3180">
        <v>6160</v>
      </c>
      <c r="E258" s="3180">
        <v>7680</v>
      </c>
      <c r="F258" s="3180">
        <v>1170</v>
      </c>
      <c r="G258" s="3180">
        <v>3780</v>
      </c>
    </row>
    <row r="259" spans="1:7" s="3169" customFormat="1" ht="14.25" customHeight="1">
      <c r="A259" s="3180" t="s">
        <v>305</v>
      </c>
      <c r="B259" s="3180" t="s">
        <v>3117</v>
      </c>
      <c r="C259" s="3180">
        <v>7610</v>
      </c>
      <c r="D259" s="3180">
        <v>7570</v>
      </c>
      <c r="E259" s="3180">
        <v>9350</v>
      </c>
      <c r="F259" s="3180">
        <v>1350</v>
      </c>
      <c r="G259" s="3180">
        <v>4650</v>
      </c>
    </row>
    <row r="260" spans="1:7" s="3169" customFormat="1" ht="14.25" customHeight="1">
      <c r="A260" s="3180" t="s">
        <v>305</v>
      </c>
      <c r="B260" s="3180" t="s">
        <v>3118</v>
      </c>
      <c r="C260" s="3180">
        <v>6920</v>
      </c>
      <c r="D260" s="3180">
        <v>6880</v>
      </c>
      <c r="E260" s="3180">
        <v>8380</v>
      </c>
      <c r="F260" s="3180">
        <v>1160</v>
      </c>
      <c r="G260" s="3180">
        <v>4220</v>
      </c>
    </row>
    <row r="261" spans="1:7" s="3169" customFormat="1" ht="14.25" customHeight="1">
      <c r="A261" s="3180" t="s">
        <v>305</v>
      </c>
      <c r="B261" s="3180" t="s">
        <v>3119</v>
      </c>
      <c r="C261" s="3180">
        <v>6850</v>
      </c>
      <c r="D261" s="3180">
        <v>6810</v>
      </c>
      <c r="E261" s="3180">
        <v>8290</v>
      </c>
      <c r="F261" s="3180">
        <v>1130</v>
      </c>
      <c r="G261" s="3180">
        <v>4180</v>
      </c>
    </row>
    <row r="262" spans="1:7" s="3169" customFormat="1" ht="14.25" customHeight="1">
      <c r="A262" s="3180" t="s">
        <v>305</v>
      </c>
      <c r="B262" s="3180" t="s">
        <v>3120</v>
      </c>
      <c r="C262" s="3180">
        <v>5860</v>
      </c>
      <c r="D262" s="3180">
        <v>5820</v>
      </c>
      <c r="E262" s="3180">
        <v>7640</v>
      </c>
      <c r="F262" s="3180">
        <v>1070</v>
      </c>
      <c r="G262" s="3180">
        <v>3570</v>
      </c>
    </row>
    <row r="263" spans="1:7" s="3169" customFormat="1" ht="14.25" customHeight="1">
      <c r="A263" s="3180" t="s">
        <v>305</v>
      </c>
      <c r="B263" s="3180" t="s">
        <v>3121</v>
      </c>
      <c r="C263" s="3180">
        <v>5870</v>
      </c>
      <c r="D263" s="3180">
        <v>5840</v>
      </c>
      <c r="E263" s="3180">
        <v>7270</v>
      </c>
      <c r="F263" s="3180">
        <v>1190</v>
      </c>
      <c r="G263" s="3180">
        <v>3580</v>
      </c>
    </row>
    <row r="264" spans="1:7" s="3169" customFormat="1" ht="14.25" customHeight="1">
      <c r="A264" s="3180" t="s">
        <v>305</v>
      </c>
      <c r="B264" s="3180" t="s">
        <v>299</v>
      </c>
      <c r="C264" s="3180">
        <v>6190</v>
      </c>
      <c r="D264" s="3180">
        <v>6150</v>
      </c>
      <c r="E264" s="3180">
        <v>7660</v>
      </c>
      <c r="F264" s="3180">
        <v>1160</v>
      </c>
      <c r="G264" s="3180">
        <v>3770</v>
      </c>
    </row>
    <row r="265" spans="1:7" s="3169" customFormat="1" ht="14.25" customHeight="1">
      <c r="A265" s="3180" t="s">
        <v>305</v>
      </c>
      <c r="B265" s="3180" t="s">
        <v>3122</v>
      </c>
      <c r="C265" s="3180"/>
      <c r="D265" s="3180"/>
      <c r="E265" s="3180"/>
      <c r="F265" s="3180">
        <v>1500</v>
      </c>
      <c r="G265" s="3180"/>
    </row>
    <row r="266" spans="1:7" s="3169" customFormat="1" ht="14.25" customHeight="1">
      <c r="A266" s="3180" t="s">
        <v>305</v>
      </c>
      <c r="B266" s="3180" t="s">
        <v>3123</v>
      </c>
      <c r="C266" s="3180"/>
      <c r="D266" s="3180"/>
      <c r="E266" s="3180"/>
      <c r="F266" s="3180">
        <v>1500</v>
      </c>
      <c r="G266" s="3180"/>
    </row>
    <row r="267" spans="1:7" s="3169" customFormat="1" ht="14.25" customHeight="1">
      <c r="A267" s="3180" t="s">
        <v>305</v>
      </c>
      <c r="B267" s="3180" t="s">
        <v>3124</v>
      </c>
      <c r="C267" s="3180"/>
      <c r="D267" s="3180"/>
      <c r="E267" s="3180"/>
      <c r="F267" s="3180">
        <v>1500</v>
      </c>
      <c r="G267" s="3180"/>
    </row>
    <row r="268" spans="1:7" s="3169" customFormat="1" ht="14.25" customHeight="1">
      <c r="A268" s="3180" t="s">
        <v>305</v>
      </c>
      <c r="B268" s="3180" t="s">
        <v>3125</v>
      </c>
      <c r="C268" s="3180"/>
      <c r="D268" s="3180"/>
      <c r="E268" s="3180"/>
      <c r="F268" s="3180">
        <v>1290</v>
      </c>
      <c r="G268" s="3180"/>
    </row>
    <row r="269" spans="1:7" s="3169" customFormat="1" ht="14.25" customHeight="1">
      <c r="A269" s="3180" t="s">
        <v>305</v>
      </c>
      <c r="B269" s="3180" t="s">
        <v>3126</v>
      </c>
      <c r="C269" s="3180"/>
      <c r="D269" s="3180"/>
      <c r="E269" s="3180"/>
      <c r="F269" s="3180">
        <v>1150</v>
      </c>
      <c r="G269" s="3180"/>
    </row>
    <row r="270" spans="1:7" s="3169" customFormat="1" ht="14.25" customHeight="1">
      <c r="A270" s="3180" t="s">
        <v>305</v>
      </c>
      <c r="B270" s="3180" t="s">
        <v>3127</v>
      </c>
      <c r="C270" s="3180"/>
      <c r="D270" s="3180"/>
      <c r="E270" s="3180"/>
      <c r="F270" s="3180">
        <v>1380</v>
      </c>
      <c r="G270" s="3180"/>
    </row>
    <row r="271" spans="1:7" s="3169" customFormat="1" ht="14.25" customHeight="1">
      <c r="A271" s="3180" t="s">
        <v>305</v>
      </c>
      <c r="B271" s="3180" t="s">
        <v>3128</v>
      </c>
      <c r="C271" s="3180"/>
      <c r="D271" s="3180"/>
      <c r="E271" s="3180"/>
      <c r="F271" s="3180">
        <v>1460</v>
      </c>
      <c r="G271" s="3180"/>
    </row>
    <row r="272" spans="1:7" s="3169" customFormat="1" ht="14.25" customHeight="1">
      <c r="A272" s="3180" t="s">
        <v>305</v>
      </c>
      <c r="B272" s="3180" t="s">
        <v>3129</v>
      </c>
      <c r="C272" s="3180"/>
      <c r="D272" s="3180"/>
      <c r="E272" s="3180"/>
      <c r="F272" s="3180">
        <v>1460</v>
      </c>
      <c r="G272" s="3180"/>
    </row>
    <row r="273" spans="1:7" s="3169" customFormat="1" ht="14.25" customHeight="1">
      <c r="A273" s="3180" t="s">
        <v>305</v>
      </c>
      <c r="B273" s="3180" t="s">
        <v>3022</v>
      </c>
      <c r="C273" s="3180"/>
      <c r="D273" s="3180"/>
      <c r="E273" s="3180"/>
      <c r="F273" s="3180">
        <v>1490</v>
      </c>
      <c r="G273" s="3180"/>
    </row>
    <row r="274" spans="1:7" s="3169" customFormat="1" ht="14.25" customHeight="1">
      <c r="A274" s="3180" t="s">
        <v>305</v>
      </c>
      <c r="B274" s="3180" t="s">
        <v>3130</v>
      </c>
      <c r="C274" s="3180"/>
      <c r="D274" s="3180"/>
      <c r="E274" s="3180"/>
      <c r="F274" s="3180">
        <v>1490</v>
      </c>
      <c r="G274" s="3180"/>
    </row>
    <row r="275" spans="1:7" s="3169" customFormat="1" ht="14.25" customHeight="1">
      <c r="A275" s="3180" t="s">
        <v>305</v>
      </c>
      <c r="B275" s="3180" t="s">
        <v>3131</v>
      </c>
      <c r="C275" s="3180"/>
      <c r="D275" s="3180"/>
      <c r="E275" s="3180"/>
      <c r="F275" s="3180">
        <v>1220</v>
      </c>
      <c r="G275" s="3180"/>
    </row>
    <row r="276" spans="1:7" s="3169" customFormat="1" ht="14.25" customHeight="1" thickBot="1">
      <c r="A276" s="3188" t="s">
        <v>305</v>
      </c>
      <c r="B276" s="3190" t="s">
        <v>3132</v>
      </c>
      <c r="C276" s="3191"/>
      <c r="D276" s="3191"/>
      <c r="E276" s="3191"/>
      <c r="F276" s="3191">
        <v>1380</v>
      </c>
      <c r="G276" s="3191"/>
    </row>
    <row r="277" spans="1:7" s="3169" customFormat="1" ht="14.25" customHeight="1">
      <c r="A277" s="3185" t="s">
        <v>306</v>
      </c>
      <c r="B277" s="3176" t="s">
        <v>3133</v>
      </c>
      <c r="C277" s="3176">
        <v>5790</v>
      </c>
      <c r="D277" s="3176">
        <v>5740</v>
      </c>
      <c r="E277" s="3176">
        <v>6730</v>
      </c>
      <c r="F277" s="3176">
        <v>1110</v>
      </c>
      <c r="G277" s="3192">
        <v>3460</v>
      </c>
    </row>
    <row r="278" spans="1:7" s="3169" customFormat="1" ht="14.25" customHeight="1">
      <c r="A278" s="3180" t="s">
        <v>306</v>
      </c>
      <c r="B278" s="3180" t="s">
        <v>135</v>
      </c>
      <c r="C278" s="3180">
        <v>5740</v>
      </c>
      <c r="D278" s="3180">
        <v>5670</v>
      </c>
      <c r="E278" s="3180">
        <v>6680</v>
      </c>
      <c r="F278" s="3180">
        <v>1070</v>
      </c>
      <c r="G278" s="3193">
        <v>3420</v>
      </c>
    </row>
    <row r="279" spans="1:7" s="3169" customFormat="1" ht="14.25" customHeight="1">
      <c r="A279" s="3180" t="s">
        <v>306</v>
      </c>
      <c r="B279" s="3180" t="s">
        <v>3134</v>
      </c>
      <c r="C279" s="3180">
        <v>4760</v>
      </c>
      <c r="D279" s="3180">
        <v>4720</v>
      </c>
      <c r="E279" s="3180">
        <v>5540</v>
      </c>
      <c r="F279" s="3180">
        <v>810</v>
      </c>
      <c r="G279" s="3193">
        <v>2850</v>
      </c>
    </row>
    <row r="280" spans="1:7" s="3169" customFormat="1" ht="14.25" customHeight="1">
      <c r="A280" s="3180" t="s">
        <v>306</v>
      </c>
      <c r="B280" s="3180" t="s">
        <v>3135</v>
      </c>
      <c r="C280" s="3180">
        <v>4010</v>
      </c>
      <c r="D280" s="3180">
        <v>3950</v>
      </c>
      <c r="E280" s="3180">
        <v>4710</v>
      </c>
      <c r="F280" s="3180">
        <v>800</v>
      </c>
      <c r="G280" s="3193">
        <v>2390</v>
      </c>
    </row>
    <row r="281" spans="1:7" s="3169" customFormat="1" ht="14.25" customHeight="1">
      <c r="A281" s="3180" t="s">
        <v>306</v>
      </c>
      <c r="B281" s="3180" t="s">
        <v>3136</v>
      </c>
      <c r="C281" s="3180">
        <v>4480</v>
      </c>
      <c r="D281" s="3180">
        <v>4420</v>
      </c>
      <c r="E281" s="3180">
        <v>5230</v>
      </c>
      <c r="F281" s="3180">
        <v>870</v>
      </c>
      <c r="G281" s="3193">
        <v>2660</v>
      </c>
    </row>
    <row r="282" spans="1:7" s="3169" customFormat="1" ht="14.25" customHeight="1">
      <c r="A282" s="3180" t="s">
        <v>306</v>
      </c>
      <c r="B282" s="3180" t="s">
        <v>3137</v>
      </c>
      <c r="C282" s="3180">
        <v>5360</v>
      </c>
      <c r="D282" s="3180">
        <v>5300</v>
      </c>
      <c r="E282" s="3180">
        <v>6190</v>
      </c>
      <c r="F282" s="3180">
        <v>950</v>
      </c>
      <c r="G282" s="3193">
        <v>3190</v>
      </c>
    </row>
    <row r="283" spans="1:7" s="3169" customFormat="1" ht="14.25" customHeight="1">
      <c r="A283" s="3180" t="s">
        <v>306</v>
      </c>
      <c r="B283" s="3180" t="s">
        <v>174</v>
      </c>
      <c r="C283" s="3180">
        <v>4950</v>
      </c>
      <c r="D283" s="3180">
        <v>4900</v>
      </c>
      <c r="E283" s="3180">
        <v>5720</v>
      </c>
      <c r="F283" s="3180">
        <v>920</v>
      </c>
      <c r="G283" s="3193">
        <v>2950</v>
      </c>
    </row>
    <row r="284" spans="1:7" s="3169" customFormat="1" ht="14.25" customHeight="1">
      <c r="A284" s="3180" t="s">
        <v>306</v>
      </c>
      <c r="B284" s="3180" t="s">
        <v>182</v>
      </c>
      <c r="C284" s="3180">
        <v>5610</v>
      </c>
      <c r="D284" s="3180">
        <v>5560</v>
      </c>
      <c r="E284" s="3180">
        <v>6520</v>
      </c>
      <c r="F284" s="3180">
        <v>1030</v>
      </c>
      <c r="G284" s="3193">
        <v>3360</v>
      </c>
    </row>
    <row r="285" spans="1:7" s="3169" customFormat="1" ht="14.25" customHeight="1">
      <c r="A285" s="3180" t="s">
        <v>306</v>
      </c>
      <c r="B285" s="3180" t="s">
        <v>192</v>
      </c>
      <c r="C285" s="3180">
        <v>5340</v>
      </c>
      <c r="D285" s="3180">
        <v>5290</v>
      </c>
      <c r="E285" s="3180">
        <v>6170</v>
      </c>
      <c r="F285" s="3180">
        <v>1080</v>
      </c>
      <c r="G285" s="3193">
        <v>3180</v>
      </c>
    </row>
    <row r="286" spans="1:7" s="3169" customFormat="1" ht="14.25" customHeight="1">
      <c r="A286" s="3180" t="s">
        <v>306</v>
      </c>
      <c r="B286" s="3180" t="s">
        <v>199</v>
      </c>
      <c r="C286" s="3180">
        <v>4890</v>
      </c>
      <c r="D286" s="3180">
        <v>4840</v>
      </c>
      <c r="E286" s="3180">
        <v>5640</v>
      </c>
      <c r="F286" s="3180">
        <v>960</v>
      </c>
      <c r="G286" s="3193">
        <v>2910</v>
      </c>
    </row>
    <row r="287" spans="1:7" s="3169" customFormat="1" ht="14.25" customHeight="1">
      <c r="A287" s="3180" t="s">
        <v>306</v>
      </c>
      <c r="B287" s="3180" t="s">
        <v>3138</v>
      </c>
      <c r="C287" s="3180">
        <v>4960</v>
      </c>
      <c r="D287" s="3180">
        <v>4920</v>
      </c>
      <c r="E287" s="3180">
        <v>5730</v>
      </c>
      <c r="F287" s="3180">
        <v>930</v>
      </c>
      <c r="G287" s="3193">
        <v>2960</v>
      </c>
    </row>
    <row r="288" spans="1:7" s="3169" customFormat="1" ht="14.25" customHeight="1">
      <c r="A288" s="3180" t="s">
        <v>306</v>
      </c>
      <c r="B288" s="3180" t="s">
        <v>219</v>
      </c>
      <c r="C288" s="3180">
        <v>4350</v>
      </c>
      <c r="D288" s="3180">
        <v>4300</v>
      </c>
      <c r="E288" s="3180">
        <v>4900</v>
      </c>
      <c r="F288" s="3180">
        <v>820</v>
      </c>
      <c r="G288" s="3193">
        <v>2590</v>
      </c>
    </row>
    <row r="289" spans="1:7" s="3169" customFormat="1" ht="14.25" customHeight="1">
      <c r="A289" s="3180" t="s">
        <v>306</v>
      </c>
      <c r="B289" s="3180" t="s">
        <v>3139</v>
      </c>
      <c r="C289" s="3180">
        <v>5230</v>
      </c>
      <c r="D289" s="3180">
        <v>5170</v>
      </c>
      <c r="E289" s="3180">
        <v>6060</v>
      </c>
      <c r="F289" s="3180">
        <v>900</v>
      </c>
      <c r="G289" s="3193">
        <v>3120</v>
      </c>
    </row>
    <row r="290" spans="1:7" s="3169" customFormat="1" ht="14.25" customHeight="1">
      <c r="A290" s="3180" t="s">
        <v>306</v>
      </c>
      <c r="B290" s="3180" t="s">
        <v>242</v>
      </c>
      <c r="C290" s="3180">
        <v>5550</v>
      </c>
      <c r="D290" s="3180">
        <v>5500</v>
      </c>
      <c r="E290" s="3180">
        <v>6440</v>
      </c>
      <c r="F290" s="3180">
        <v>960</v>
      </c>
      <c r="G290" s="3193">
        <v>3320</v>
      </c>
    </row>
    <row r="291" spans="1:7" s="3169" customFormat="1" ht="14.25" customHeight="1">
      <c r="A291" s="3180" t="s">
        <v>306</v>
      </c>
      <c r="B291" s="3180" t="s">
        <v>250</v>
      </c>
      <c r="C291" s="3180">
        <v>5440</v>
      </c>
      <c r="D291" s="3180">
        <v>5400</v>
      </c>
      <c r="E291" s="3180">
        <v>6320</v>
      </c>
      <c r="F291" s="3180">
        <v>930</v>
      </c>
      <c r="G291" s="3193">
        <v>3250</v>
      </c>
    </row>
    <row r="292" spans="1:7" s="3169" customFormat="1" ht="14.25" customHeight="1">
      <c r="A292" s="3180" t="s">
        <v>306</v>
      </c>
      <c r="B292" s="3180" t="s">
        <v>256</v>
      </c>
      <c r="C292" s="3180">
        <v>5400</v>
      </c>
      <c r="D292" s="3180">
        <v>5360</v>
      </c>
      <c r="E292" s="3180">
        <v>6270</v>
      </c>
      <c r="F292" s="3180">
        <v>1040</v>
      </c>
      <c r="G292" s="3193">
        <v>3230</v>
      </c>
    </row>
    <row r="293" spans="1:7" s="3169" customFormat="1" ht="14.25" customHeight="1">
      <c r="A293" s="3180" t="s">
        <v>306</v>
      </c>
      <c r="B293" s="3180" t="s">
        <v>2914</v>
      </c>
      <c r="C293" s="3180">
        <v>5320</v>
      </c>
      <c r="D293" s="3180">
        <v>5270</v>
      </c>
      <c r="E293" s="3180">
        <v>6160</v>
      </c>
      <c r="F293" s="3180">
        <v>990</v>
      </c>
      <c r="G293" s="3193">
        <v>3170</v>
      </c>
    </row>
    <row r="294" spans="1:7" s="3169" customFormat="1" ht="14.25" customHeight="1">
      <c r="A294" s="3180" t="s">
        <v>306</v>
      </c>
      <c r="B294" s="3180" t="s">
        <v>3140</v>
      </c>
      <c r="C294" s="3180">
        <v>5260</v>
      </c>
      <c r="D294" s="3180">
        <v>5210</v>
      </c>
      <c r="E294" s="3180">
        <v>6100</v>
      </c>
      <c r="F294" s="3180">
        <v>950</v>
      </c>
      <c r="G294" s="3193">
        <v>3150</v>
      </c>
    </row>
    <row r="295" spans="1:7" s="3169" customFormat="1" ht="14.25" customHeight="1">
      <c r="A295" s="3180" t="s">
        <v>306</v>
      </c>
      <c r="B295" s="3180" t="s">
        <v>290</v>
      </c>
      <c r="C295" s="3180">
        <v>5610</v>
      </c>
      <c r="D295" s="3180">
        <v>5570</v>
      </c>
      <c r="E295" s="3180">
        <v>6530</v>
      </c>
      <c r="F295" s="3180">
        <v>960</v>
      </c>
      <c r="G295" s="3193">
        <v>3360</v>
      </c>
    </row>
    <row r="296" spans="1:7" s="3169" customFormat="1" ht="14.25" customHeight="1">
      <c r="A296" s="3180" t="s">
        <v>306</v>
      </c>
      <c r="B296" s="3180" t="s">
        <v>293</v>
      </c>
      <c r="C296" s="3180">
        <v>5540</v>
      </c>
      <c r="D296" s="3180">
        <v>5490</v>
      </c>
      <c r="E296" s="3180">
        <v>6430</v>
      </c>
      <c r="F296" s="3180">
        <v>980</v>
      </c>
      <c r="G296" s="3193">
        <v>3310</v>
      </c>
    </row>
    <row r="297" spans="1:7" s="3169" customFormat="1" ht="14.25" customHeight="1">
      <c r="A297" s="3180" t="s">
        <v>306</v>
      </c>
      <c r="B297" s="3180" t="s">
        <v>295</v>
      </c>
      <c r="C297" s="3180">
        <v>5480</v>
      </c>
      <c r="D297" s="3180">
        <v>5420</v>
      </c>
      <c r="E297" s="3180">
        <v>6370</v>
      </c>
      <c r="F297" s="3180">
        <v>990</v>
      </c>
      <c r="G297" s="3193">
        <v>3270</v>
      </c>
    </row>
    <row r="298" spans="1:7" s="3169" customFormat="1" ht="14.25" customHeight="1">
      <c r="A298" s="3180" t="s">
        <v>306</v>
      </c>
      <c r="B298" s="3180" t="s">
        <v>298</v>
      </c>
      <c r="C298" s="3180">
        <v>5090</v>
      </c>
      <c r="D298" s="3180">
        <v>5050</v>
      </c>
      <c r="E298" s="3180">
        <v>5910</v>
      </c>
      <c r="F298" s="3180">
        <v>900</v>
      </c>
      <c r="G298" s="3193">
        <v>3040</v>
      </c>
    </row>
    <row r="299" spans="1:7" s="3169" customFormat="1" ht="14.25" customHeight="1">
      <c r="A299" s="3180" t="s">
        <v>306</v>
      </c>
      <c r="B299" s="3189" t="s">
        <v>2933</v>
      </c>
      <c r="C299" s="3180">
        <v>5430</v>
      </c>
      <c r="D299" s="3180">
        <v>5380</v>
      </c>
      <c r="E299" s="3180">
        <v>6280</v>
      </c>
      <c r="F299" s="3180">
        <v>1000</v>
      </c>
      <c r="G299" s="3193">
        <v>3240</v>
      </c>
    </row>
    <row r="300" spans="1:7" s="3169" customFormat="1" ht="14.25" customHeight="1">
      <c r="A300" s="3180" t="s">
        <v>306</v>
      </c>
      <c r="B300" s="3189" t="s">
        <v>271</v>
      </c>
      <c r="C300" s="3180">
        <v>4740</v>
      </c>
      <c r="D300" s="3180">
        <v>4680</v>
      </c>
      <c r="E300" s="3180">
        <v>5450</v>
      </c>
      <c r="F300" s="3180">
        <v>900</v>
      </c>
      <c r="G300" s="3193">
        <v>2830</v>
      </c>
    </row>
    <row r="301" spans="1:7" s="3169" customFormat="1" ht="14.25" customHeight="1">
      <c r="A301" s="3180" t="s">
        <v>306</v>
      </c>
      <c r="B301" s="3189" t="s">
        <v>276</v>
      </c>
      <c r="C301" s="3180">
        <v>4870</v>
      </c>
      <c r="D301" s="3180">
        <v>4810</v>
      </c>
      <c r="E301" s="3180">
        <v>5560</v>
      </c>
      <c r="F301" s="3180">
        <v>990</v>
      </c>
      <c r="G301" s="3193">
        <v>2910</v>
      </c>
    </row>
    <row r="302" spans="1:7" s="3169" customFormat="1" ht="14.25" customHeight="1">
      <c r="A302" s="3180" t="s">
        <v>306</v>
      </c>
      <c r="B302" s="3180" t="s">
        <v>3141</v>
      </c>
      <c r="C302" s="3180">
        <v>5520</v>
      </c>
      <c r="D302" s="3180">
        <v>5470</v>
      </c>
      <c r="E302" s="3180">
        <v>6410</v>
      </c>
      <c r="F302" s="3180">
        <v>950</v>
      </c>
      <c r="G302" s="3193">
        <v>3300</v>
      </c>
    </row>
    <row r="303" spans="1:7" s="3169" customFormat="1" ht="14.25" customHeight="1">
      <c r="A303" s="3180" t="s">
        <v>306</v>
      </c>
      <c r="B303" s="3180" t="s">
        <v>2953</v>
      </c>
      <c r="C303" s="3180">
        <v>5630</v>
      </c>
      <c r="D303" s="3180">
        <v>5590</v>
      </c>
      <c r="E303" s="3180">
        <v>6550</v>
      </c>
      <c r="F303" s="3180">
        <v>1010</v>
      </c>
      <c r="G303" s="3193">
        <v>3370</v>
      </c>
    </row>
    <row r="304" spans="1:7" s="3169" customFormat="1" ht="14.25" customHeight="1">
      <c r="A304" s="3180" t="s">
        <v>306</v>
      </c>
      <c r="B304" s="3180" t="s">
        <v>2960</v>
      </c>
      <c r="C304" s="3180">
        <v>5680</v>
      </c>
      <c r="D304" s="3180">
        <v>5620</v>
      </c>
      <c r="E304" s="3180">
        <v>6620</v>
      </c>
      <c r="F304" s="3180">
        <v>1050</v>
      </c>
      <c r="G304" s="3193">
        <v>3390</v>
      </c>
    </row>
    <row r="305" spans="1:7" s="3169" customFormat="1" ht="14.25" customHeight="1">
      <c r="A305" s="3180" t="s">
        <v>306</v>
      </c>
      <c r="B305" s="3180" t="s">
        <v>2966</v>
      </c>
      <c r="C305" s="3180">
        <v>5590</v>
      </c>
      <c r="D305" s="3180">
        <v>5530</v>
      </c>
      <c r="E305" s="3180">
        <v>6460</v>
      </c>
      <c r="F305" s="3180">
        <v>900</v>
      </c>
      <c r="G305" s="3193">
        <v>3340</v>
      </c>
    </row>
    <row r="306" spans="1:7" s="3169" customFormat="1" ht="14.25" customHeight="1">
      <c r="A306" s="3180" t="s">
        <v>306</v>
      </c>
      <c r="B306" s="3180" t="s">
        <v>3142</v>
      </c>
      <c r="C306" s="3180">
        <v>5560</v>
      </c>
      <c r="D306" s="3180">
        <v>5510</v>
      </c>
      <c r="E306" s="3180">
        <v>6440</v>
      </c>
      <c r="F306" s="3180">
        <v>900</v>
      </c>
      <c r="G306" s="3193">
        <v>3320</v>
      </c>
    </row>
    <row r="307" spans="1:7" s="3169" customFormat="1" ht="14.25" customHeight="1">
      <c r="A307" s="3180" t="s">
        <v>306</v>
      </c>
      <c r="B307" s="3180" t="s">
        <v>2978</v>
      </c>
      <c r="C307" s="3180">
        <v>5650</v>
      </c>
      <c r="D307" s="3180">
        <v>5600</v>
      </c>
      <c r="E307" s="3180">
        <v>6590</v>
      </c>
      <c r="F307" s="3180">
        <v>930</v>
      </c>
      <c r="G307" s="3193">
        <v>3380</v>
      </c>
    </row>
    <row r="308" spans="1:7" s="3169" customFormat="1" ht="14.25" customHeight="1">
      <c r="A308" s="3180" t="s">
        <v>306</v>
      </c>
      <c r="B308" s="3180" t="s">
        <v>3143</v>
      </c>
      <c r="C308" s="3180">
        <v>5620</v>
      </c>
      <c r="D308" s="3180">
        <v>5580</v>
      </c>
      <c r="E308" s="3180">
        <v>6540</v>
      </c>
      <c r="F308" s="3180">
        <v>910</v>
      </c>
      <c r="G308" s="3193">
        <v>3370</v>
      </c>
    </row>
    <row r="309" spans="1:7" s="3169" customFormat="1" ht="14.25" customHeight="1">
      <c r="A309" s="3180" t="s">
        <v>306</v>
      </c>
      <c r="B309" s="3180" t="s">
        <v>3144</v>
      </c>
      <c r="C309" s="3180">
        <v>5060</v>
      </c>
      <c r="D309" s="3180">
        <v>5020</v>
      </c>
      <c r="E309" s="3180">
        <v>6370</v>
      </c>
      <c r="F309" s="3180">
        <v>800</v>
      </c>
      <c r="G309" s="3193">
        <v>3020</v>
      </c>
    </row>
    <row r="310" spans="1:7" s="3169" customFormat="1" ht="14.25" customHeight="1">
      <c r="A310" s="3180" t="s">
        <v>306</v>
      </c>
      <c r="B310" s="3180" t="s">
        <v>2993</v>
      </c>
      <c r="C310" s="3180">
        <v>5150</v>
      </c>
      <c r="D310" s="3180">
        <v>5110</v>
      </c>
      <c r="E310" s="3180">
        <v>6500</v>
      </c>
      <c r="F310" s="3180">
        <v>880</v>
      </c>
      <c r="G310" s="3193">
        <v>3080</v>
      </c>
    </row>
    <row r="311" spans="1:7" s="3169" customFormat="1" ht="14.25" customHeight="1">
      <c r="A311" s="3180" t="s">
        <v>306</v>
      </c>
      <c r="B311" s="3180" t="s">
        <v>3145</v>
      </c>
      <c r="C311" s="3180">
        <v>4750</v>
      </c>
      <c r="D311" s="3180">
        <v>4710</v>
      </c>
      <c r="E311" s="3180">
        <v>5510</v>
      </c>
      <c r="F311" s="3180">
        <v>880</v>
      </c>
      <c r="G311" s="3193">
        <v>2840</v>
      </c>
    </row>
    <row r="312" spans="1:7" s="3169" customFormat="1" ht="14.25" customHeight="1">
      <c r="A312" s="3180" t="s">
        <v>306</v>
      </c>
      <c r="B312" s="3180" t="s">
        <v>3003</v>
      </c>
      <c r="C312" s="3180">
        <v>4690</v>
      </c>
      <c r="D312" s="3180">
        <v>4640</v>
      </c>
      <c r="E312" s="3180">
        <v>5420</v>
      </c>
      <c r="F312" s="3180">
        <v>800</v>
      </c>
      <c r="G312" s="3193">
        <v>2800</v>
      </c>
    </row>
    <row r="313" spans="1:7" s="3169" customFormat="1" ht="14.25" customHeight="1">
      <c r="A313" s="3180" t="s">
        <v>306</v>
      </c>
      <c r="B313" s="3180" t="s">
        <v>3008</v>
      </c>
      <c r="C313" s="3180">
        <v>4810</v>
      </c>
      <c r="D313" s="3180">
        <v>4760</v>
      </c>
      <c r="E313" s="3180">
        <v>5550</v>
      </c>
      <c r="F313" s="3180">
        <v>920</v>
      </c>
      <c r="G313" s="3193">
        <v>2870</v>
      </c>
    </row>
    <row r="314" spans="1:7" s="3169" customFormat="1" ht="14.25" customHeight="1">
      <c r="A314" s="3180" t="s">
        <v>306</v>
      </c>
      <c r="B314" s="3180" t="s">
        <v>3146</v>
      </c>
      <c r="C314" s="3180"/>
      <c r="D314" s="3180"/>
      <c r="E314" s="3180"/>
      <c r="F314" s="3180">
        <v>1020</v>
      </c>
      <c r="G314" s="3193"/>
    </row>
    <row r="315" spans="1:7" s="3169" customFormat="1" ht="14.25" customHeight="1">
      <c r="A315" s="3180" t="s">
        <v>306</v>
      </c>
      <c r="B315" s="3180" t="s">
        <v>3147</v>
      </c>
      <c r="C315" s="3180"/>
      <c r="D315" s="3180"/>
      <c r="E315" s="3180"/>
      <c r="F315" s="3180">
        <v>1050</v>
      </c>
      <c r="G315" s="3193"/>
    </row>
    <row r="316" spans="1:7" s="3169" customFormat="1" ht="14.25" customHeight="1">
      <c r="A316" s="3180" t="s">
        <v>306</v>
      </c>
      <c r="B316" s="3180" t="s">
        <v>3023</v>
      </c>
      <c r="C316" s="3180"/>
      <c r="D316" s="3180"/>
      <c r="E316" s="3180"/>
      <c r="F316" s="3180">
        <v>900</v>
      </c>
      <c r="G316" s="3193"/>
    </row>
    <row r="317" spans="1:7" s="3169" customFormat="1" ht="14.25" customHeight="1">
      <c r="A317" s="3180" t="s">
        <v>306</v>
      </c>
      <c r="B317" s="3180" t="s">
        <v>3148</v>
      </c>
      <c r="C317" s="3180"/>
      <c r="D317" s="3180"/>
      <c r="E317" s="3180"/>
      <c r="F317" s="3180">
        <v>920</v>
      </c>
      <c r="G317" s="3193"/>
    </row>
    <row r="318" spans="1:7" s="3169" customFormat="1" ht="14.25" customHeight="1">
      <c r="A318" s="3180" t="s">
        <v>306</v>
      </c>
      <c r="B318" s="3180" t="s">
        <v>3149</v>
      </c>
      <c r="C318" s="3180"/>
      <c r="D318" s="3180"/>
      <c r="E318" s="3180"/>
      <c r="F318" s="3180">
        <v>1080</v>
      </c>
      <c r="G318" s="3193"/>
    </row>
    <row r="319" spans="1:7" s="3169" customFormat="1" ht="14.25" customHeight="1">
      <c r="A319" s="3180" t="s">
        <v>306</v>
      </c>
      <c r="B319" s="3180" t="s">
        <v>3036</v>
      </c>
      <c r="C319" s="3180"/>
      <c r="D319" s="3180"/>
      <c r="E319" s="3180"/>
      <c r="F319" s="3180">
        <v>1020</v>
      </c>
      <c r="G319" s="3193"/>
    </row>
    <row r="320" spans="1:7" s="3169" customFormat="1" ht="14.25" customHeight="1">
      <c r="A320" s="3180" t="s">
        <v>306</v>
      </c>
      <c r="B320" s="3180" t="s">
        <v>3039</v>
      </c>
      <c r="C320" s="3180"/>
      <c r="D320" s="3180"/>
      <c r="E320" s="3180"/>
      <c r="F320" s="3180">
        <v>1050</v>
      </c>
      <c r="G320" s="3193"/>
    </row>
    <row r="321" spans="1:7" s="3169" customFormat="1" ht="14.25" customHeight="1">
      <c r="A321" s="3180" t="s">
        <v>306</v>
      </c>
      <c r="B321" s="3180" t="s">
        <v>3041</v>
      </c>
      <c r="C321" s="3180"/>
      <c r="D321" s="3180"/>
      <c r="E321" s="3180"/>
      <c r="F321" s="3180">
        <v>960</v>
      </c>
      <c r="G321" s="3193"/>
    </row>
    <row r="322" spans="1:7" s="3169" customFormat="1" ht="14.25" customHeight="1">
      <c r="A322" s="3180" t="s">
        <v>306</v>
      </c>
      <c r="B322" s="3180" t="s">
        <v>3043</v>
      </c>
      <c r="C322" s="3180"/>
      <c r="D322" s="3180"/>
      <c r="E322" s="3180"/>
      <c r="F322" s="3180">
        <v>960</v>
      </c>
      <c r="G322" s="3193"/>
    </row>
    <row r="323" spans="1:7" s="3169" customFormat="1" ht="14.25" customHeight="1">
      <c r="A323" s="3180" t="s">
        <v>306</v>
      </c>
      <c r="B323" s="3180" t="s">
        <v>3045</v>
      </c>
      <c r="C323" s="3180"/>
      <c r="D323" s="3180"/>
      <c r="E323" s="3180"/>
      <c r="F323" s="3180">
        <v>880</v>
      </c>
      <c r="G323" s="3193"/>
    </row>
    <row r="324" spans="1:7" s="3169" customFormat="1" ht="14.25" customHeight="1">
      <c r="A324" s="3180" t="s">
        <v>306</v>
      </c>
      <c r="B324" s="3180" t="s">
        <v>3047</v>
      </c>
      <c r="C324" s="3180"/>
      <c r="D324" s="3180"/>
      <c r="E324" s="3180"/>
      <c r="F324" s="3180">
        <v>930</v>
      </c>
      <c r="G324" s="3193"/>
    </row>
    <row r="325" spans="1:7" s="3169" customFormat="1" ht="14.25" customHeight="1">
      <c r="A325" s="3180" t="s">
        <v>306</v>
      </c>
      <c r="B325" s="3181" t="s">
        <v>3049</v>
      </c>
      <c r="C325" s="3180"/>
      <c r="D325" s="3180"/>
      <c r="E325" s="3180"/>
      <c r="F325" s="3180">
        <v>900</v>
      </c>
      <c r="G325" s="3193"/>
    </row>
    <row r="326" spans="1:7" s="3169" customFormat="1" ht="14.25" customHeight="1" thickBot="1">
      <c r="A326" s="3194" t="s">
        <v>306</v>
      </c>
      <c r="B326" s="3187" t="s">
        <v>3051</v>
      </c>
      <c r="C326" s="3187"/>
      <c r="D326" s="3187"/>
      <c r="E326" s="3187"/>
      <c r="F326" s="3187">
        <v>790</v>
      </c>
      <c r="G326" s="3195"/>
    </row>
    <row r="327" spans="1:7" s="3169" customFormat="1" ht="14.25" customHeight="1">
      <c r="A327" s="3185" t="s">
        <v>307</v>
      </c>
      <c r="B327" s="3176" t="s">
        <v>3150</v>
      </c>
      <c r="C327" s="3180">
        <v>3750</v>
      </c>
      <c r="D327" s="3180">
        <v>3710</v>
      </c>
      <c r="E327" s="3180">
        <v>4080</v>
      </c>
      <c r="F327" s="3180">
        <v>860</v>
      </c>
      <c r="G327" s="3180">
        <v>2210</v>
      </c>
    </row>
    <row r="328" spans="1:7" s="3169" customFormat="1" ht="14.25" customHeight="1">
      <c r="A328" s="3180" t="s">
        <v>307</v>
      </c>
      <c r="B328" s="3180" t="s">
        <v>136</v>
      </c>
      <c r="C328" s="3180">
        <v>3330</v>
      </c>
      <c r="D328" s="3180">
        <v>3290</v>
      </c>
      <c r="E328" s="3180">
        <v>3610</v>
      </c>
      <c r="F328" s="3180">
        <v>850</v>
      </c>
      <c r="G328" s="3180">
        <v>1960</v>
      </c>
    </row>
    <row r="329" spans="1:7" s="3169" customFormat="1" ht="14.25" customHeight="1">
      <c r="A329" s="3180" t="s">
        <v>307</v>
      </c>
      <c r="B329" s="3180" t="s">
        <v>3151</v>
      </c>
      <c r="C329" s="3180">
        <v>2730</v>
      </c>
      <c r="D329" s="3180">
        <v>2690</v>
      </c>
      <c r="E329" s="3180">
        <v>3100</v>
      </c>
      <c r="F329" s="3180">
        <v>660</v>
      </c>
      <c r="G329" s="3180">
        <v>1610</v>
      </c>
    </row>
    <row r="330" spans="1:7" s="3169" customFormat="1" ht="14.25" customHeight="1">
      <c r="A330" s="3180" t="s">
        <v>307</v>
      </c>
      <c r="B330" s="3180" t="s">
        <v>3152</v>
      </c>
      <c r="C330" s="3180">
        <v>3270</v>
      </c>
      <c r="D330" s="3180">
        <v>3240</v>
      </c>
      <c r="E330" s="3180">
        <v>3560</v>
      </c>
      <c r="F330" s="3180">
        <v>680</v>
      </c>
      <c r="G330" s="3180">
        <v>1940</v>
      </c>
    </row>
    <row r="331" spans="1:7" s="3169" customFormat="1" ht="14.25" customHeight="1">
      <c r="A331" s="3180" t="s">
        <v>307</v>
      </c>
      <c r="B331" s="3180" t="s">
        <v>161</v>
      </c>
      <c r="C331" s="3180">
        <v>3770</v>
      </c>
      <c r="D331" s="3180">
        <v>3740</v>
      </c>
      <c r="E331" s="3180">
        <v>4110</v>
      </c>
      <c r="F331" s="3180">
        <v>730</v>
      </c>
      <c r="G331" s="3180">
        <v>2230</v>
      </c>
    </row>
    <row r="332" spans="1:7" s="3169" customFormat="1" ht="14.25" customHeight="1">
      <c r="A332" s="3180" t="s">
        <v>307</v>
      </c>
      <c r="B332" s="3180" t="s">
        <v>2885</v>
      </c>
      <c r="C332" s="3180">
        <v>3520</v>
      </c>
      <c r="D332" s="3180">
        <v>3480</v>
      </c>
      <c r="E332" s="3180">
        <v>3830</v>
      </c>
      <c r="F332" s="3180">
        <v>720</v>
      </c>
      <c r="G332" s="3180">
        <v>2090</v>
      </c>
    </row>
    <row r="333" spans="1:7" s="3169" customFormat="1" ht="14.25" customHeight="1">
      <c r="A333" s="3180" t="s">
        <v>307</v>
      </c>
      <c r="B333" s="3180" t="s">
        <v>3153</v>
      </c>
      <c r="C333" s="3180">
        <v>3840</v>
      </c>
      <c r="D333" s="3180">
        <v>3800</v>
      </c>
      <c r="E333" s="3180">
        <v>4200</v>
      </c>
      <c r="F333" s="3180">
        <v>760</v>
      </c>
      <c r="G333" s="3180">
        <v>2270</v>
      </c>
    </row>
    <row r="334" spans="1:7" s="3169" customFormat="1" ht="14.25" customHeight="1">
      <c r="A334" s="3180" t="s">
        <v>307</v>
      </c>
      <c r="B334" s="3180" t="s">
        <v>183</v>
      </c>
      <c r="C334" s="3180">
        <v>3960</v>
      </c>
      <c r="D334" s="3180">
        <v>3910</v>
      </c>
      <c r="E334" s="3180">
        <v>4340</v>
      </c>
      <c r="F334" s="3180">
        <v>780</v>
      </c>
      <c r="G334" s="3180">
        <v>2340</v>
      </c>
    </row>
    <row r="335" spans="1:7" s="3169" customFormat="1" ht="14.25" customHeight="1">
      <c r="A335" s="3180" t="s">
        <v>307</v>
      </c>
      <c r="B335" s="3180" t="s">
        <v>193</v>
      </c>
      <c r="C335" s="3180">
        <v>3710</v>
      </c>
      <c r="D335" s="3180">
        <v>3670</v>
      </c>
      <c r="E335" s="3180">
        <v>4030</v>
      </c>
      <c r="F335" s="3180">
        <v>750</v>
      </c>
      <c r="G335" s="3180">
        <v>2200</v>
      </c>
    </row>
    <row r="336" spans="1:7" s="3169" customFormat="1" ht="14.25" customHeight="1">
      <c r="A336" s="3180" t="s">
        <v>307</v>
      </c>
      <c r="B336" s="3180" t="s">
        <v>2895</v>
      </c>
      <c r="C336" s="3180">
        <v>3570</v>
      </c>
      <c r="D336" s="3180">
        <v>3530</v>
      </c>
      <c r="E336" s="3180">
        <v>3880</v>
      </c>
      <c r="F336" s="3180">
        <v>770</v>
      </c>
      <c r="G336" s="3180">
        <v>2110</v>
      </c>
    </row>
    <row r="337" spans="1:10" s="3169" customFormat="1" ht="14.25" customHeight="1">
      <c r="A337" s="3180" t="s">
        <v>307</v>
      </c>
      <c r="B337" s="3180" t="s">
        <v>3154</v>
      </c>
      <c r="C337" s="3180">
        <v>3780</v>
      </c>
      <c r="D337" s="3180">
        <v>3750</v>
      </c>
      <c r="E337" s="3180">
        <v>4130</v>
      </c>
      <c r="F337" s="3180">
        <v>750</v>
      </c>
      <c r="G337" s="3180">
        <v>2240</v>
      </c>
    </row>
    <row r="338" spans="1:10" s="3169" customFormat="1" ht="14.25" customHeight="1">
      <c r="A338" s="3180" t="s">
        <v>307</v>
      </c>
      <c r="B338" s="3180" t="s">
        <v>220</v>
      </c>
      <c r="C338" s="3180">
        <v>3600</v>
      </c>
      <c r="D338" s="3180">
        <v>3570</v>
      </c>
      <c r="E338" s="3180">
        <v>3920</v>
      </c>
      <c r="F338" s="3180">
        <v>790</v>
      </c>
      <c r="G338" s="3180">
        <v>2140</v>
      </c>
    </row>
    <row r="339" spans="1:10" s="3169" customFormat="1" ht="14.25" customHeight="1">
      <c r="A339" s="3180" t="s">
        <v>307</v>
      </c>
      <c r="B339" s="3180" t="s">
        <v>228</v>
      </c>
      <c r="C339" s="3180">
        <v>3540</v>
      </c>
      <c r="D339" s="3180">
        <v>3500</v>
      </c>
      <c r="E339" s="3180">
        <v>3850</v>
      </c>
      <c r="F339" s="3180">
        <v>780</v>
      </c>
      <c r="G339" s="3180">
        <v>2100</v>
      </c>
    </row>
    <row r="340" spans="1:10" s="3169" customFormat="1" ht="14.25" customHeight="1">
      <c r="A340" s="3180" t="s">
        <v>307</v>
      </c>
      <c r="B340" s="3180" t="s">
        <v>3155</v>
      </c>
      <c r="C340" s="3180">
        <v>3850</v>
      </c>
      <c r="D340" s="3180">
        <v>3810</v>
      </c>
      <c r="E340" s="3180">
        <v>4210</v>
      </c>
      <c r="F340" s="3180">
        <v>750</v>
      </c>
      <c r="G340" s="3180">
        <v>2280</v>
      </c>
    </row>
    <row r="341" spans="1:10" s="3169" customFormat="1" ht="14.25" customHeight="1">
      <c r="A341" s="3180" t="s">
        <v>307</v>
      </c>
      <c r="B341" s="3180" t="s">
        <v>207</v>
      </c>
      <c r="C341" s="3180">
        <v>3780</v>
      </c>
      <c r="D341" s="3180">
        <v>3750</v>
      </c>
      <c r="E341" s="3180">
        <v>4140</v>
      </c>
      <c r="F341" s="3180">
        <v>720</v>
      </c>
      <c r="G341" s="3180">
        <v>2240</v>
      </c>
    </row>
    <row r="342" spans="1:10" s="3169" customFormat="1" ht="14.25" customHeight="1">
      <c r="A342" s="3180" t="s">
        <v>307</v>
      </c>
      <c r="B342" s="3180" t="s">
        <v>3156</v>
      </c>
      <c r="C342" s="3180">
        <v>3670</v>
      </c>
      <c r="D342" s="3180">
        <v>3620</v>
      </c>
      <c r="E342" s="3180">
        <v>3990</v>
      </c>
      <c r="F342" s="3180">
        <v>760</v>
      </c>
      <c r="G342" s="3180">
        <v>2170</v>
      </c>
    </row>
    <row r="343" spans="1:10" s="3169" customFormat="1" ht="14.25" customHeight="1">
      <c r="A343" s="3180" t="s">
        <v>307</v>
      </c>
      <c r="B343" s="3180" t="s">
        <v>257</v>
      </c>
      <c r="C343" s="3180">
        <v>3760</v>
      </c>
      <c r="D343" s="3180">
        <v>3720</v>
      </c>
      <c r="E343" s="3180">
        <v>4090</v>
      </c>
      <c r="F343" s="3180">
        <v>780</v>
      </c>
      <c r="G343" s="3180">
        <v>2220</v>
      </c>
    </row>
    <row r="344" spans="1:10" s="3169" customFormat="1" ht="14.25" customHeight="1">
      <c r="A344" s="3180" t="s">
        <v>307</v>
      </c>
      <c r="B344" s="3180" t="s">
        <v>265</v>
      </c>
      <c r="C344" s="3180">
        <v>3680</v>
      </c>
      <c r="D344" s="3180">
        <v>3640</v>
      </c>
      <c r="E344" s="3180">
        <v>4010</v>
      </c>
      <c r="F344" s="3180">
        <v>750</v>
      </c>
      <c r="G344" s="3180">
        <v>2180</v>
      </c>
    </row>
    <row r="345" spans="1:10">
      <c r="A345" s="3180" t="s">
        <v>307</v>
      </c>
      <c r="B345" s="3180" t="s">
        <v>2920</v>
      </c>
      <c r="C345" s="3180">
        <v>3190</v>
      </c>
      <c r="D345" s="3180">
        <v>3140</v>
      </c>
      <c r="E345" s="3180">
        <v>3450</v>
      </c>
      <c r="F345" s="3180">
        <v>720</v>
      </c>
      <c r="G345" s="3180">
        <v>1880</v>
      </c>
      <c r="J345" s="3169"/>
    </row>
    <row r="346" spans="1:10">
      <c r="A346" s="3180" t="s">
        <v>307</v>
      </c>
      <c r="B346" s="3180" t="s">
        <v>3157</v>
      </c>
      <c r="C346" s="3180">
        <v>3630</v>
      </c>
      <c r="D346" s="3180">
        <v>3590</v>
      </c>
      <c r="E346" s="3180">
        <v>3940</v>
      </c>
      <c r="F346" s="3180">
        <v>730</v>
      </c>
      <c r="G346" s="3180">
        <v>2150</v>
      </c>
      <c r="J346" s="3169"/>
    </row>
    <row r="347" spans="1:10">
      <c r="A347" s="3180" t="s">
        <v>307</v>
      </c>
      <c r="B347" s="3180" t="s">
        <v>243</v>
      </c>
      <c r="C347" s="3180">
        <v>3860</v>
      </c>
      <c r="D347" s="3180">
        <v>3820</v>
      </c>
      <c r="E347" s="3180">
        <v>4220</v>
      </c>
      <c r="F347" s="3180">
        <v>750</v>
      </c>
      <c r="G347" s="3180">
        <v>2280</v>
      </c>
      <c r="J347" s="3169"/>
    </row>
    <row r="348" spans="1:10">
      <c r="A348" s="3180" t="s">
        <v>307</v>
      </c>
      <c r="B348" s="3180" t="s">
        <v>2929</v>
      </c>
      <c r="C348" s="3180">
        <v>4000</v>
      </c>
      <c r="D348" s="3180">
        <v>3950</v>
      </c>
      <c r="E348" s="3180">
        <v>4430</v>
      </c>
      <c r="F348" s="3180">
        <v>760</v>
      </c>
      <c r="G348" s="3180">
        <v>2360</v>
      </c>
      <c r="J348" s="3169"/>
    </row>
    <row r="349" spans="1:10">
      <c r="A349" s="3180" t="s">
        <v>307</v>
      </c>
      <c r="B349" s="3180" t="s">
        <v>2934</v>
      </c>
      <c r="C349" s="3180">
        <v>3820</v>
      </c>
      <c r="D349" s="3180">
        <v>3780</v>
      </c>
      <c r="E349" s="3180">
        <v>4170</v>
      </c>
      <c r="F349" s="3180">
        <v>710</v>
      </c>
      <c r="G349" s="3180">
        <v>2260</v>
      </c>
      <c r="J349" s="3169"/>
    </row>
    <row r="350" spans="1:10">
      <c r="A350" s="3180" t="s">
        <v>307</v>
      </c>
      <c r="B350" s="3180" t="s">
        <v>3158</v>
      </c>
      <c r="C350" s="3180">
        <v>3760</v>
      </c>
      <c r="D350" s="3180">
        <v>3730</v>
      </c>
      <c r="E350" s="3180">
        <v>4100</v>
      </c>
      <c r="F350" s="3180">
        <v>800</v>
      </c>
      <c r="G350" s="3180">
        <v>2230</v>
      </c>
      <c r="J350" s="3169"/>
    </row>
    <row r="351" spans="1:10">
      <c r="A351" s="3180" t="s">
        <v>307</v>
      </c>
      <c r="B351" s="3180" t="s">
        <v>2942</v>
      </c>
      <c r="C351" s="3180">
        <v>3610</v>
      </c>
      <c r="D351" s="3180">
        <v>3580</v>
      </c>
      <c r="E351" s="3180">
        <v>3930</v>
      </c>
      <c r="F351" s="3180">
        <v>700</v>
      </c>
      <c r="G351" s="3180">
        <v>2140</v>
      </c>
      <c r="J351" s="3169"/>
    </row>
    <row r="352" spans="1:10">
      <c r="A352" s="3180" t="s">
        <v>307</v>
      </c>
      <c r="B352" s="3180" t="s">
        <v>2947</v>
      </c>
      <c r="C352" s="3180">
        <v>3670</v>
      </c>
      <c r="D352" s="3180">
        <v>3630</v>
      </c>
      <c r="E352" s="3180">
        <v>4000</v>
      </c>
      <c r="F352" s="3180">
        <v>750</v>
      </c>
      <c r="G352" s="3180">
        <v>2180</v>
      </c>
    </row>
    <row r="353" spans="1:7" s="3173" customFormat="1">
      <c r="A353" s="3180" t="s">
        <v>307</v>
      </c>
      <c r="B353" s="3180" t="s">
        <v>3159</v>
      </c>
      <c r="C353" s="3180">
        <v>3190</v>
      </c>
      <c r="D353" s="3180">
        <v>3150</v>
      </c>
      <c r="E353" s="3180">
        <v>3640</v>
      </c>
      <c r="F353" s="3180">
        <v>630</v>
      </c>
      <c r="G353" s="3180">
        <v>1890</v>
      </c>
    </row>
    <row r="354" spans="1:7" s="3173" customFormat="1">
      <c r="A354" s="3180" t="s">
        <v>307</v>
      </c>
      <c r="B354" s="3180" t="s">
        <v>280</v>
      </c>
      <c r="C354" s="3180">
        <v>3450</v>
      </c>
      <c r="D354" s="3180">
        <v>3420</v>
      </c>
      <c r="E354" s="3180">
        <v>3960</v>
      </c>
      <c r="F354" s="3180">
        <v>660</v>
      </c>
      <c r="G354" s="3180">
        <v>2050</v>
      </c>
    </row>
    <row r="355" spans="1:7" s="3173" customFormat="1">
      <c r="A355" s="3180" t="s">
        <v>307</v>
      </c>
      <c r="B355" s="3180" t="s">
        <v>2967</v>
      </c>
      <c r="C355" s="3180">
        <v>3650</v>
      </c>
      <c r="D355" s="3180">
        <v>3610</v>
      </c>
      <c r="E355" s="3180">
        <v>4200</v>
      </c>
      <c r="F355" s="3180">
        <v>640</v>
      </c>
      <c r="G355" s="3180">
        <v>2160</v>
      </c>
    </row>
    <row r="356" spans="1:7" s="3173" customFormat="1">
      <c r="A356" s="3180" t="s">
        <v>307</v>
      </c>
      <c r="B356" s="3180" t="s">
        <v>2974</v>
      </c>
      <c r="C356" s="3180">
        <v>3260</v>
      </c>
      <c r="D356" s="3180">
        <v>3230</v>
      </c>
      <c r="E356" s="3180">
        <v>3740</v>
      </c>
      <c r="F356" s="3180">
        <v>600</v>
      </c>
      <c r="G356" s="3180">
        <v>1930</v>
      </c>
    </row>
    <row r="357" spans="1:7" s="3173" customFormat="1" ht="12" thickBot="1">
      <c r="A357" s="3188" t="s">
        <v>307</v>
      </c>
      <c r="B357" s="3191" t="s">
        <v>3160</v>
      </c>
      <c r="C357" s="3191">
        <v>3690</v>
      </c>
      <c r="D357" s="3191">
        <v>3650</v>
      </c>
      <c r="E357" s="3191">
        <v>4020</v>
      </c>
      <c r="F357" s="3191">
        <v>700</v>
      </c>
      <c r="G357" s="3191">
        <v>2190</v>
      </c>
    </row>
    <row r="358" spans="1:7" s="3173" customFormat="1">
      <c r="A358" s="3185" t="s">
        <v>3161</v>
      </c>
      <c r="B358" s="3176" t="s">
        <v>3162</v>
      </c>
      <c r="C358" s="3176">
        <v>2080</v>
      </c>
      <c r="D358" s="3176">
        <v>2040</v>
      </c>
      <c r="E358" s="3176">
        <v>2010</v>
      </c>
      <c r="F358" s="3176">
        <v>530</v>
      </c>
      <c r="G358" s="3192">
        <v>1230</v>
      </c>
    </row>
    <row r="359" spans="1:7" s="3173" customFormat="1">
      <c r="A359" s="3180" t="s">
        <v>3161</v>
      </c>
      <c r="B359" s="3180" t="s">
        <v>3163</v>
      </c>
      <c r="C359" s="3180">
        <v>1850</v>
      </c>
      <c r="D359" s="3180">
        <v>1820</v>
      </c>
      <c r="E359" s="3180">
        <v>1780</v>
      </c>
      <c r="F359" s="3180">
        <v>520</v>
      </c>
      <c r="G359" s="3193">
        <v>1100</v>
      </c>
    </row>
    <row r="360" spans="1:7" s="3173" customFormat="1">
      <c r="A360" s="3180" t="s">
        <v>3161</v>
      </c>
      <c r="B360" s="3180" t="s">
        <v>3164</v>
      </c>
      <c r="C360" s="3180">
        <v>2020</v>
      </c>
      <c r="D360" s="3180">
        <v>1990</v>
      </c>
      <c r="E360" s="3180">
        <v>1950</v>
      </c>
      <c r="F360" s="3180">
        <v>500</v>
      </c>
      <c r="G360" s="3193">
        <v>1200</v>
      </c>
    </row>
    <row r="361" spans="1:7" s="3173" customFormat="1">
      <c r="A361" s="3180" t="s">
        <v>3161</v>
      </c>
      <c r="B361" s="3180" t="s">
        <v>153</v>
      </c>
      <c r="C361" s="3180">
        <v>2260</v>
      </c>
      <c r="D361" s="3180">
        <v>2220</v>
      </c>
      <c r="E361" s="3180">
        <v>2180</v>
      </c>
      <c r="F361" s="3180">
        <v>580</v>
      </c>
      <c r="G361" s="3193">
        <v>1340</v>
      </c>
    </row>
    <row r="362" spans="1:7" s="3173" customFormat="1">
      <c r="A362" s="3180" t="s">
        <v>3161</v>
      </c>
      <c r="B362" s="3180" t="s">
        <v>3165</v>
      </c>
      <c r="C362" s="3180">
        <v>2650</v>
      </c>
      <c r="D362" s="3180">
        <v>2610</v>
      </c>
      <c r="E362" s="3180">
        <v>2570</v>
      </c>
      <c r="F362" s="3180">
        <v>630</v>
      </c>
      <c r="G362" s="3193">
        <v>1570</v>
      </c>
    </row>
    <row r="363" spans="1:7" s="3173" customFormat="1">
      <c r="A363" s="3180" t="s">
        <v>3161</v>
      </c>
      <c r="B363" s="3180" t="s">
        <v>2886</v>
      </c>
      <c r="C363" s="3180">
        <v>2390</v>
      </c>
      <c r="D363" s="3180">
        <v>2360</v>
      </c>
      <c r="E363" s="3180">
        <v>2320</v>
      </c>
      <c r="F363" s="3180">
        <v>600</v>
      </c>
      <c r="G363" s="3193">
        <v>1420</v>
      </c>
    </row>
    <row r="364" spans="1:7" s="3173" customFormat="1">
      <c r="A364" s="3180" t="s">
        <v>3161</v>
      </c>
      <c r="B364" s="3180" t="s">
        <v>3166</v>
      </c>
      <c r="C364" s="3180">
        <v>2050</v>
      </c>
      <c r="D364" s="3180">
        <v>2030</v>
      </c>
      <c r="E364" s="3180">
        <v>1990</v>
      </c>
      <c r="F364" s="3180">
        <v>550</v>
      </c>
      <c r="G364" s="3193">
        <v>1220</v>
      </c>
    </row>
    <row r="365" spans="1:7" s="3173" customFormat="1">
      <c r="A365" s="3180" t="s">
        <v>3161</v>
      </c>
      <c r="B365" s="3180" t="s">
        <v>200</v>
      </c>
      <c r="C365" s="3180">
        <v>2140</v>
      </c>
      <c r="D365" s="3180">
        <v>2100</v>
      </c>
      <c r="E365" s="3180">
        <v>2060</v>
      </c>
      <c r="F365" s="3180">
        <v>540</v>
      </c>
      <c r="G365" s="3193">
        <v>1270</v>
      </c>
    </row>
    <row r="366" spans="1:7" s="3173" customFormat="1">
      <c r="A366" s="3180" t="s">
        <v>3161</v>
      </c>
      <c r="B366" s="3180" t="s">
        <v>2893</v>
      </c>
      <c r="C366" s="3180">
        <v>2410</v>
      </c>
      <c r="D366" s="3180">
        <v>2370</v>
      </c>
      <c r="E366" s="3180">
        <v>2330</v>
      </c>
      <c r="F366" s="3180">
        <v>570</v>
      </c>
      <c r="G366" s="3193">
        <v>1440</v>
      </c>
    </row>
    <row r="367" spans="1:7" s="3173" customFormat="1">
      <c r="A367" s="3180" t="s">
        <v>3161</v>
      </c>
      <c r="B367" s="3180" t="s">
        <v>3167</v>
      </c>
      <c r="C367" s="3180">
        <v>2300</v>
      </c>
      <c r="D367" s="3180">
        <v>2260</v>
      </c>
      <c r="E367" s="3180">
        <v>2220</v>
      </c>
      <c r="F367" s="3180">
        <v>560</v>
      </c>
      <c r="G367" s="3193">
        <v>1370</v>
      </c>
    </row>
    <row r="368" spans="1:7" s="3173" customFormat="1">
      <c r="A368" s="3180" t="s">
        <v>3161</v>
      </c>
      <c r="B368" s="3180" t="s">
        <v>3168</v>
      </c>
      <c r="C368" s="3180">
        <v>2430</v>
      </c>
      <c r="D368" s="3180">
        <v>2390</v>
      </c>
      <c r="E368" s="3180">
        <v>2350</v>
      </c>
      <c r="F368" s="3180">
        <v>570</v>
      </c>
      <c r="G368" s="3193">
        <v>1450</v>
      </c>
    </row>
    <row r="369" spans="1:7" s="3173" customFormat="1">
      <c r="A369" s="3180" t="s">
        <v>3161</v>
      </c>
      <c r="B369" s="3180" t="s">
        <v>214</v>
      </c>
      <c r="C369" s="3180">
        <v>2320</v>
      </c>
      <c r="D369" s="3180">
        <v>2290</v>
      </c>
      <c r="E369" s="3180">
        <v>2250</v>
      </c>
      <c r="F369" s="3180">
        <v>550</v>
      </c>
      <c r="G369" s="3193">
        <v>1380</v>
      </c>
    </row>
    <row r="370" spans="1:7" s="3173" customFormat="1">
      <c r="A370" s="3180" t="s">
        <v>3161</v>
      </c>
      <c r="B370" s="3180" t="s">
        <v>221</v>
      </c>
      <c r="C370" s="3180">
        <v>2190</v>
      </c>
      <c r="D370" s="3180">
        <v>2170</v>
      </c>
      <c r="E370" s="3180">
        <v>2130</v>
      </c>
      <c r="F370" s="3180">
        <v>530</v>
      </c>
      <c r="G370" s="3193">
        <v>1310</v>
      </c>
    </row>
    <row r="371" spans="1:7" s="3173" customFormat="1">
      <c r="A371" s="3180" t="s">
        <v>3161</v>
      </c>
      <c r="B371" s="3180" t="s">
        <v>229</v>
      </c>
      <c r="C371" s="3180">
        <v>2460</v>
      </c>
      <c r="D371" s="3180">
        <v>2420</v>
      </c>
      <c r="E371" s="3180">
        <v>2370</v>
      </c>
      <c r="F371" s="3180">
        <v>560</v>
      </c>
      <c r="G371" s="3193">
        <v>1470</v>
      </c>
    </row>
    <row r="372" spans="1:7" s="3173" customFormat="1">
      <c r="A372" s="3180" t="s">
        <v>3161</v>
      </c>
      <c r="B372" s="3180" t="s">
        <v>3169</v>
      </c>
      <c r="C372" s="3180">
        <v>2250</v>
      </c>
      <c r="D372" s="3180">
        <v>2210</v>
      </c>
      <c r="E372" s="3180">
        <v>2180</v>
      </c>
      <c r="F372" s="3180">
        <v>550</v>
      </c>
      <c r="G372" s="3193">
        <v>1340</v>
      </c>
    </row>
    <row r="373" spans="1:7" s="3173" customFormat="1">
      <c r="A373" s="3180" t="s">
        <v>3161</v>
      </c>
      <c r="B373" s="3180" t="s">
        <v>258</v>
      </c>
      <c r="C373" s="3180">
        <v>2210</v>
      </c>
      <c r="D373" s="3180">
        <v>2190</v>
      </c>
      <c r="E373" s="3180">
        <v>2150</v>
      </c>
      <c r="F373" s="3180">
        <v>530</v>
      </c>
      <c r="G373" s="3193">
        <v>1320</v>
      </c>
    </row>
    <row r="374" spans="1:7" s="3173" customFormat="1">
      <c r="A374" s="3180" t="s">
        <v>3161</v>
      </c>
      <c r="B374" s="3180" t="s">
        <v>266</v>
      </c>
      <c r="C374" s="3180">
        <v>2320</v>
      </c>
      <c r="D374" s="3180">
        <v>2280</v>
      </c>
      <c r="E374" s="3180">
        <v>2230</v>
      </c>
      <c r="F374" s="3180">
        <v>580</v>
      </c>
      <c r="G374" s="3193">
        <v>1380</v>
      </c>
    </row>
    <row r="375" spans="1:7" s="3173" customFormat="1">
      <c r="A375" s="3180" t="s">
        <v>3161</v>
      </c>
      <c r="B375" s="3180" t="s">
        <v>3170</v>
      </c>
      <c r="C375" s="3180">
        <v>2090</v>
      </c>
      <c r="D375" s="3180">
        <v>2050</v>
      </c>
      <c r="E375" s="3180">
        <v>2020</v>
      </c>
      <c r="F375" s="3180">
        <v>520</v>
      </c>
      <c r="G375" s="3193">
        <v>1240</v>
      </c>
    </row>
    <row r="376" spans="1:7" s="3173" customFormat="1">
      <c r="A376" s="3180" t="s">
        <v>3161</v>
      </c>
      <c r="B376" s="3180" t="s">
        <v>277</v>
      </c>
      <c r="C376" s="3180">
        <v>2010</v>
      </c>
      <c r="D376" s="3180">
        <v>1980</v>
      </c>
      <c r="E376" s="3180">
        <v>1940</v>
      </c>
      <c r="F376" s="3180">
        <v>540</v>
      </c>
      <c r="G376" s="3193">
        <v>1190</v>
      </c>
    </row>
    <row r="377" spans="1:7" s="3173" customFormat="1" ht="12" thickBot="1">
      <c r="A377" s="3188" t="s">
        <v>3161</v>
      </c>
      <c r="B377" s="3191" t="s">
        <v>2923</v>
      </c>
      <c r="C377" s="3191">
        <v>1930</v>
      </c>
      <c r="D377" s="3191">
        <v>1890</v>
      </c>
      <c r="E377" s="3191">
        <v>1860</v>
      </c>
      <c r="F377" s="3191">
        <v>530</v>
      </c>
      <c r="G377" s="3196">
        <v>1150</v>
      </c>
    </row>
    <row r="378" spans="1:7" s="3173" customFormat="1">
      <c r="A378" s="3197" t="s">
        <v>3171</v>
      </c>
      <c r="B378" s="3176" t="s">
        <v>3172</v>
      </c>
      <c r="C378" s="3176">
        <v>1520</v>
      </c>
      <c r="D378" s="3176">
        <v>1490</v>
      </c>
      <c r="E378" s="3176">
        <v>1460</v>
      </c>
      <c r="F378" s="3176">
        <v>460</v>
      </c>
      <c r="G378" s="3192">
        <v>940</v>
      </c>
    </row>
    <row r="379" spans="1:7" s="3173" customFormat="1">
      <c r="A379" s="3198" t="s">
        <v>3171</v>
      </c>
      <c r="B379" s="3180" t="s">
        <v>3173</v>
      </c>
      <c r="C379" s="3180">
        <v>1500</v>
      </c>
      <c r="D379" s="3180">
        <v>1470</v>
      </c>
      <c r="E379" s="3180">
        <v>1430</v>
      </c>
      <c r="F379" s="3180">
        <v>460</v>
      </c>
      <c r="G379" s="3193">
        <v>920</v>
      </c>
    </row>
    <row r="380" spans="1:7" s="3173" customFormat="1">
      <c r="A380" s="3198" t="s">
        <v>3171</v>
      </c>
      <c r="B380" s="3180" t="s">
        <v>3174</v>
      </c>
      <c r="C380" s="3180">
        <v>1620</v>
      </c>
      <c r="D380" s="3180">
        <v>1590</v>
      </c>
      <c r="E380" s="3180">
        <v>1560</v>
      </c>
      <c r="F380" s="3180">
        <v>480</v>
      </c>
      <c r="G380" s="3193">
        <v>1000</v>
      </c>
    </row>
    <row r="381" spans="1:7" s="3173" customFormat="1">
      <c r="A381" s="3198" t="s">
        <v>3171</v>
      </c>
      <c r="B381" s="3180" t="s">
        <v>3175</v>
      </c>
      <c r="C381" s="3180">
        <v>1460</v>
      </c>
      <c r="D381" s="3180">
        <v>1430</v>
      </c>
      <c r="E381" s="3180">
        <v>1390</v>
      </c>
      <c r="F381" s="3180">
        <v>450</v>
      </c>
      <c r="G381" s="3193">
        <v>900</v>
      </c>
    </row>
    <row r="382" spans="1:7" s="3173" customFormat="1">
      <c r="A382" s="3198" t="s">
        <v>3171</v>
      </c>
      <c r="B382" s="3180" t="s">
        <v>3176</v>
      </c>
      <c r="C382" s="3180">
        <v>1310</v>
      </c>
      <c r="D382" s="3180">
        <v>1280</v>
      </c>
      <c r="E382" s="3180">
        <v>1250</v>
      </c>
      <c r="F382" s="3180">
        <v>440</v>
      </c>
      <c r="G382" s="3193">
        <v>800</v>
      </c>
    </row>
    <row r="383" spans="1:7" s="3173" customFormat="1">
      <c r="A383" s="3198" t="s">
        <v>3171</v>
      </c>
      <c r="B383" s="3180" t="s">
        <v>3177</v>
      </c>
      <c r="C383" s="3180">
        <v>1260</v>
      </c>
      <c r="D383" s="3180">
        <v>1230</v>
      </c>
      <c r="E383" s="3180">
        <v>1200</v>
      </c>
      <c r="F383" s="3180">
        <v>420</v>
      </c>
      <c r="G383" s="3193">
        <v>770</v>
      </c>
    </row>
    <row r="384" spans="1:7" s="3173" customFormat="1" ht="12" thickBot="1">
      <c r="A384" s="3199" t="s">
        <v>3171</v>
      </c>
      <c r="B384" s="3187" t="s">
        <v>3178</v>
      </c>
      <c r="C384" s="3187">
        <v>1170</v>
      </c>
      <c r="D384" s="3187">
        <v>1140</v>
      </c>
      <c r="E384" s="3187">
        <v>1120</v>
      </c>
      <c r="F384" s="3187">
        <v>400</v>
      </c>
      <c r="G384" s="319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0" workbookViewId="0">
      <selection activeCell="A10" sqref="A10:G29"/>
    </sheetView>
  </sheetViews>
  <sheetFormatPr defaultColWidth="8.875" defaultRowHeight="13.5"/>
  <cols>
    <col min="1" max="1" width="12.625" style="2932" customWidth="1"/>
    <col min="2" max="2" width="20" style="2932" customWidth="1"/>
    <col min="3" max="7" width="8.875" style="2932"/>
    <col min="8" max="16384" width="8.875" style="2807"/>
  </cols>
  <sheetData>
    <row r="1" spans="1:7">
      <c r="A1" s="3528" t="s">
        <v>3179</v>
      </c>
      <c r="B1" s="3528"/>
    </row>
    <row r="2" spans="1:7" ht="14.25" thickBot="1">
      <c r="A2" s="2933"/>
      <c r="B2" s="2933"/>
    </row>
    <row r="3" spans="1:7" ht="14.25" thickBot="1">
      <c r="A3" s="2933"/>
      <c r="B3" s="2933"/>
      <c r="C3" s="2934" t="s">
        <v>2809</v>
      </c>
      <c r="D3" s="2934" t="s">
        <v>2865</v>
      </c>
      <c r="E3" s="2934" t="s">
        <v>2811</v>
      </c>
      <c r="F3" s="2934" t="s">
        <v>2866</v>
      </c>
      <c r="G3" s="2934" t="s">
        <v>2629</v>
      </c>
    </row>
    <row r="4" spans="1:7" ht="14.25" thickBot="1">
      <c r="A4" s="2935" t="s">
        <v>2864</v>
      </c>
      <c r="B4" s="2936" t="s">
        <v>2870</v>
      </c>
      <c r="C4" s="2934"/>
      <c r="D4" s="2934"/>
      <c r="E4" s="2934"/>
      <c r="F4" s="2934"/>
      <c r="G4" s="2934"/>
    </row>
    <row r="5" spans="1:7">
      <c r="A5" s="2937" t="s">
        <v>2838</v>
      </c>
      <c r="B5" s="2938" t="s">
        <v>2852</v>
      </c>
      <c r="C5" s="2939">
        <v>9.8000000000000004E-2</v>
      </c>
      <c r="D5" s="2939">
        <v>8.6999999999999994E-2</v>
      </c>
      <c r="E5" s="2939">
        <v>8.6999999999999994E-2</v>
      </c>
      <c r="F5" s="2939">
        <v>9.8000000000000004E-2</v>
      </c>
      <c r="G5" s="2940">
        <v>9.5000000000000001E-2</v>
      </c>
    </row>
    <row r="6" spans="1:7">
      <c r="A6" s="2941" t="s">
        <v>144</v>
      </c>
      <c r="B6" s="2942" t="s">
        <v>2867</v>
      </c>
      <c r="C6" s="2943">
        <v>9.8000000000000004E-2</v>
      </c>
      <c r="D6" s="2943">
        <v>9.8000000000000004E-2</v>
      </c>
      <c r="E6" s="2943">
        <v>9.8000000000000004E-2</v>
      </c>
      <c r="F6" s="2943">
        <v>0.1</v>
      </c>
      <c r="G6" s="2944">
        <v>9.9000000000000005E-2</v>
      </c>
    </row>
    <row r="7" spans="1:7">
      <c r="A7" s="2941" t="s">
        <v>144</v>
      </c>
      <c r="B7" s="2942" t="s">
        <v>137</v>
      </c>
      <c r="C7" s="2943">
        <v>9.7000000000000003E-2</v>
      </c>
      <c r="D7" s="2943">
        <v>9.7000000000000003E-2</v>
      </c>
      <c r="E7" s="2943">
        <v>9.6000000000000002E-2</v>
      </c>
      <c r="F7" s="2943">
        <v>0.1</v>
      </c>
      <c r="G7" s="2944">
        <v>9.8000000000000004E-2</v>
      </c>
    </row>
    <row r="8" spans="1:7">
      <c r="A8" s="2941" t="s">
        <v>144</v>
      </c>
      <c r="B8" s="2942" t="s">
        <v>145</v>
      </c>
      <c r="C8" s="2943">
        <v>8.1000000000000003E-2</v>
      </c>
      <c r="D8" s="2943">
        <v>8.2000000000000003E-2</v>
      </c>
      <c r="E8" s="2943">
        <v>7.0000000000000007E-2</v>
      </c>
      <c r="F8" s="2943">
        <v>9.6000000000000002E-2</v>
      </c>
      <c r="G8" s="2944">
        <v>8.8999999999999996E-2</v>
      </c>
    </row>
    <row r="9" spans="1:7" ht="14.25" thickBot="1">
      <c r="A9" s="2945" t="s">
        <v>144</v>
      </c>
      <c r="B9" s="2946" t="s">
        <v>154</v>
      </c>
      <c r="C9" s="2947">
        <v>0.1</v>
      </c>
      <c r="D9" s="2947">
        <v>0.1</v>
      </c>
      <c r="E9" s="2947">
        <v>0.1</v>
      </c>
      <c r="F9" s="2948"/>
      <c r="G9" s="2949">
        <v>0.1</v>
      </c>
    </row>
    <row r="10" spans="1:7">
      <c r="A10" s="2937" t="s">
        <v>184</v>
      </c>
      <c r="B10" s="2938" t="s">
        <v>2853</v>
      </c>
      <c r="C10" s="2939">
        <v>6.7000000000000004E-2</v>
      </c>
      <c r="D10" s="2939">
        <v>7.9000000000000001E-2</v>
      </c>
      <c r="E10" s="2939">
        <v>7.9000000000000001E-2</v>
      </c>
      <c r="F10" s="2939">
        <v>0.1</v>
      </c>
      <c r="G10" s="2940">
        <v>9.0999999999999998E-2</v>
      </c>
    </row>
    <row r="11" spans="1:7">
      <c r="A11" s="2941" t="s">
        <v>184</v>
      </c>
      <c r="B11" s="2942" t="s">
        <v>128</v>
      </c>
      <c r="C11" s="2943">
        <v>0.05</v>
      </c>
      <c r="D11" s="2943">
        <v>5.2999999999999999E-2</v>
      </c>
      <c r="E11" s="2943">
        <v>6.3E-2</v>
      </c>
      <c r="F11" s="2943">
        <v>0.1</v>
      </c>
      <c r="G11" s="2944">
        <v>7.1999999999999995E-2</v>
      </c>
    </row>
    <row r="12" spans="1:7">
      <c r="A12" s="2941" t="s">
        <v>184</v>
      </c>
      <c r="B12" s="2942" t="s">
        <v>111</v>
      </c>
      <c r="C12" s="2943">
        <v>5.2999999999999999E-2</v>
      </c>
      <c r="D12" s="2943">
        <v>0.09</v>
      </c>
      <c r="E12" s="2943">
        <v>7.1999999999999995E-2</v>
      </c>
      <c r="F12" s="2943">
        <v>0.1</v>
      </c>
      <c r="G12" s="2944">
        <v>9.7000000000000003E-2</v>
      </c>
    </row>
    <row r="13" spans="1:7">
      <c r="A13" s="2941" t="s">
        <v>184</v>
      </c>
      <c r="B13" s="2942" t="s">
        <v>146</v>
      </c>
      <c r="C13" s="2943">
        <v>9.7000000000000003E-2</v>
      </c>
      <c r="D13" s="2943">
        <v>9.1999999999999998E-2</v>
      </c>
      <c r="E13" s="2943">
        <v>9.5000000000000001E-2</v>
      </c>
      <c r="F13" s="2943">
        <v>0.1</v>
      </c>
      <c r="G13" s="2944">
        <v>9.7000000000000003E-2</v>
      </c>
    </row>
    <row r="14" spans="1:7">
      <c r="A14" s="2941" t="s">
        <v>184</v>
      </c>
      <c r="B14" s="2942" t="s">
        <v>155</v>
      </c>
      <c r="C14" s="2943">
        <v>9.7000000000000003E-2</v>
      </c>
      <c r="D14" s="2943">
        <v>9.7000000000000003E-2</v>
      </c>
      <c r="E14" s="2943">
        <v>9.7000000000000003E-2</v>
      </c>
      <c r="F14" s="2943">
        <v>0.1</v>
      </c>
      <c r="G14" s="2944">
        <v>9.8000000000000004E-2</v>
      </c>
    </row>
    <row r="15" spans="1:7">
      <c r="A15" s="2941" t="s">
        <v>184</v>
      </c>
      <c r="B15" s="2942" t="s">
        <v>162</v>
      </c>
      <c r="C15" s="2943">
        <v>9.8000000000000004E-2</v>
      </c>
      <c r="D15" s="2943">
        <v>9.0999999999999998E-2</v>
      </c>
      <c r="E15" s="2943">
        <v>0.06</v>
      </c>
      <c r="F15" s="2943">
        <v>0.1</v>
      </c>
      <c r="G15" s="2944">
        <v>9.7000000000000003E-2</v>
      </c>
    </row>
    <row r="16" spans="1:7">
      <c r="A16" s="2941" t="s">
        <v>184</v>
      </c>
      <c r="B16" s="2942" t="s">
        <v>168</v>
      </c>
      <c r="C16" s="2943">
        <v>9.8000000000000004E-2</v>
      </c>
      <c r="D16" s="2943">
        <v>9.7000000000000003E-2</v>
      </c>
      <c r="E16" s="2943">
        <v>9.5000000000000001E-2</v>
      </c>
      <c r="F16" s="2943">
        <v>0.1</v>
      </c>
      <c r="G16" s="2944">
        <v>9.9000000000000005E-2</v>
      </c>
    </row>
    <row r="17" spans="1:7">
      <c r="A17" s="2941" t="s">
        <v>184</v>
      </c>
      <c r="B17" s="2942" t="s">
        <v>175</v>
      </c>
      <c r="C17" s="2943">
        <v>8.8999999999999996E-2</v>
      </c>
      <c r="D17" s="2943">
        <v>9.1999999999999998E-2</v>
      </c>
      <c r="E17" s="2943">
        <v>6.0999999999999999E-2</v>
      </c>
      <c r="F17" s="2943">
        <v>0.1</v>
      </c>
      <c r="G17" s="2944">
        <v>9.7000000000000003E-2</v>
      </c>
    </row>
    <row r="18" spans="1:7">
      <c r="A18" s="2941" t="s">
        <v>184</v>
      </c>
      <c r="B18" s="2942" t="s">
        <v>185</v>
      </c>
      <c r="C18" s="2943">
        <v>9.8000000000000004E-2</v>
      </c>
      <c r="D18" s="2943">
        <v>9.8000000000000004E-2</v>
      </c>
      <c r="E18" s="2943">
        <v>9.8000000000000004E-2</v>
      </c>
      <c r="F18" s="2950"/>
      <c r="G18" s="2944">
        <v>9.9000000000000005E-2</v>
      </c>
    </row>
    <row r="19" spans="1:7">
      <c r="A19" s="2941" t="s">
        <v>184</v>
      </c>
      <c r="B19" s="2942" t="s">
        <v>194</v>
      </c>
      <c r="C19" s="2943">
        <v>9.9000000000000005E-2</v>
      </c>
      <c r="D19" s="2943">
        <v>7.3999999999999996E-2</v>
      </c>
      <c r="E19" s="2943">
        <v>8.1000000000000003E-2</v>
      </c>
      <c r="F19" s="2950"/>
      <c r="G19" s="2944">
        <v>9.2999999999999999E-2</v>
      </c>
    </row>
    <row r="20" spans="1:7">
      <c r="A20" s="2941" t="s">
        <v>184</v>
      </c>
      <c r="B20" s="2942" t="s">
        <v>201</v>
      </c>
      <c r="C20" s="2943">
        <v>0.1</v>
      </c>
      <c r="D20" s="2943">
        <v>8.8999999999999996E-2</v>
      </c>
      <c r="E20" s="2943">
        <v>8.8999999999999996E-2</v>
      </c>
      <c r="F20" s="2950"/>
      <c r="G20" s="2944">
        <v>9.5000000000000001E-2</v>
      </c>
    </row>
    <row r="21" spans="1:7">
      <c r="A21" s="2941" t="s">
        <v>184</v>
      </c>
      <c r="B21" s="2942" t="s">
        <v>208</v>
      </c>
      <c r="C21" s="2943">
        <v>0.1</v>
      </c>
      <c r="D21" s="2943">
        <v>9.0999999999999998E-2</v>
      </c>
      <c r="E21" s="2943">
        <v>8.2000000000000003E-2</v>
      </c>
      <c r="F21" s="2950"/>
      <c r="G21" s="2944">
        <v>9.7000000000000003E-2</v>
      </c>
    </row>
    <row r="22" spans="1:7">
      <c r="A22" s="2941" t="s">
        <v>184</v>
      </c>
      <c r="B22" s="2942" t="s">
        <v>2903</v>
      </c>
      <c r="C22" s="2943">
        <v>9.5000000000000001E-2</v>
      </c>
      <c r="D22" s="2943">
        <v>9.9000000000000005E-2</v>
      </c>
      <c r="E22" s="2943">
        <v>9.8000000000000004E-2</v>
      </c>
      <c r="F22" s="2950"/>
      <c r="G22" s="2944">
        <v>0.1</v>
      </c>
    </row>
    <row r="23" spans="1:7">
      <c r="A23" s="2941" t="s">
        <v>184</v>
      </c>
      <c r="B23" s="2942" t="s">
        <v>222</v>
      </c>
      <c r="C23" s="2943">
        <v>9.9000000000000005E-2</v>
      </c>
      <c r="D23" s="2943">
        <v>0.1</v>
      </c>
      <c r="E23" s="2943">
        <v>0.1</v>
      </c>
      <c r="F23" s="2950"/>
      <c r="G23" s="2944">
        <v>0.1</v>
      </c>
    </row>
    <row r="24" spans="1:7">
      <c r="A24" s="2941" t="s">
        <v>184</v>
      </c>
      <c r="B24" s="2942" t="s">
        <v>230</v>
      </c>
      <c r="C24" s="2943">
        <v>9.5000000000000001E-2</v>
      </c>
      <c r="D24" s="2943">
        <v>0.1</v>
      </c>
      <c r="E24" s="2943">
        <v>9.8000000000000004E-2</v>
      </c>
      <c r="F24" s="2950"/>
      <c r="G24" s="2944">
        <v>0.1</v>
      </c>
    </row>
    <row r="25" spans="1:7">
      <c r="A25" s="2941" t="s">
        <v>184</v>
      </c>
      <c r="B25" s="2942" t="s">
        <v>235</v>
      </c>
      <c r="C25" s="2943">
        <v>0.05</v>
      </c>
      <c r="D25" s="2943">
        <v>9.6000000000000002E-2</v>
      </c>
      <c r="E25" s="2943">
        <v>9.6000000000000002E-2</v>
      </c>
      <c r="F25" s="2950"/>
      <c r="G25" s="2944">
        <v>9.6000000000000002E-2</v>
      </c>
    </row>
    <row r="26" spans="1:7">
      <c r="A26" s="2941" t="s">
        <v>184</v>
      </c>
      <c r="B26" s="2942" t="s">
        <v>244</v>
      </c>
      <c r="C26" s="2943">
        <v>6.3E-2</v>
      </c>
      <c r="D26" s="2943">
        <v>9.9000000000000005E-2</v>
      </c>
      <c r="E26" s="2943">
        <v>9.8000000000000004E-2</v>
      </c>
      <c r="F26" s="2950"/>
      <c r="G26" s="2944">
        <v>0.1</v>
      </c>
    </row>
    <row r="27" spans="1:7">
      <c r="A27" s="2941" t="s">
        <v>184</v>
      </c>
      <c r="B27" s="2942" t="s">
        <v>251</v>
      </c>
      <c r="C27" s="2943">
        <v>5.1999999999999998E-2</v>
      </c>
      <c r="D27" s="2943">
        <v>9.5000000000000001E-2</v>
      </c>
      <c r="E27" s="2943">
        <v>6.4000000000000001E-2</v>
      </c>
      <c r="F27" s="2950"/>
      <c r="G27" s="2944">
        <v>9.7000000000000003E-2</v>
      </c>
    </row>
    <row r="28" spans="1:7">
      <c r="A28" s="2941" t="s">
        <v>184</v>
      </c>
      <c r="B28" s="2942" t="s">
        <v>259</v>
      </c>
      <c r="C28" s="2950"/>
      <c r="D28" s="2943">
        <v>6.3E-2</v>
      </c>
      <c r="E28" s="2943">
        <v>5.1999999999999998E-2</v>
      </c>
      <c r="F28" s="2950"/>
      <c r="G28" s="2944">
        <v>6.3E-2</v>
      </c>
    </row>
    <row r="29" spans="1:7" ht="14.25" thickBot="1">
      <c r="A29" s="2945" t="s">
        <v>184</v>
      </c>
      <c r="B29" s="2946" t="s">
        <v>2921</v>
      </c>
      <c r="C29" s="2951"/>
      <c r="D29" s="2947">
        <v>5.1999999999999998E-2</v>
      </c>
      <c r="E29" s="2947">
        <v>7.0000000000000007E-2</v>
      </c>
      <c r="F29" s="2951"/>
      <c r="G29" s="2949">
        <v>7.0999999999999994E-2</v>
      </c>
    </row>
    <row r="30" spans="1:7">
      <c r="A30" s="2952" t="s">
        <v>296</v>
      </c>
      <c r="B30" s="2938" t="s">
        <v>2854</v>
      </c>
      <c r="C30" s="2939">
        <v>6.6000000000000003E-2</v>
      </c>
      <c r="D30" s="2939">
        <v>6.6000000000000003E-2</v>
      </c>
      <c r="E30" s="2939">
        <v>5.7000000000000002E-2</v>
      </c>
      <c r="F30" s="2939">
        <v>0.1</v>
      </c>
      <c r="G30" s="2940">
        <v>6.8000000000000005E-2</v>
      </c>
    </row>
    <row r="31" spans="1:7">
      <c r="A31" s="2953" t="s">
        <v>296</v>
      </c>
      <c r="B31" s="2942" t="s">
        <v>129</v>
      </c>
      <c r="C31" s="2943">
        <v>5.5E-2</v>
      </c>
      <c r="D31" s="2943">
        <v>8.2000000000000003E-2</v>
      </c>
      <c r="E31" s="2943">
        <v>6.4000000000000001E-2</v>
      </c>
      <c r="F31" s="2943">
        <v>0.1</v>
      </c>
      <c r="G31" s="2944">
        <v>9.5000000000000001E-2</v>
      </c>
    </row>
    <row r="32" spans="1:7">
      <c r="A32" s="2953" t="s">
        <v>296</v>
      </c>
      <c r="B32" s="2942" t="s">
        <v>138</v>
      </c>
      <c r="C32" s="2943">
        <v>8.2000000000000003E-2</v>
      </c>
      <c r="D32" s="2943">
        <v>8.6999999999999994E-2</v>
      </c>
      <c r="E32" s="2943">
        <v>9.5000000000000001E-2</v>
      </c>
      <c r="F32" s="2943">
        <v>0.1</v>
      </c>
      <c r="G32" s="2944">
        <v>9.6000000000000002E-2</v>
      </c>
    </row>
    <row r="33" spans="1:7">
      <c r="A33" s="2953" t="s">
        <v>296</v>
      </c>
      <c r="B33" s="2942" t="s">
        <v>147</v>
      </c>
      <c r="C33" s="2943">
        <v>9.9000000000000005E-2</v>
      </c>
      <c r="D33" s="2943">
        <v>9.1999999999999998E-2</v>
      </c>
      <c r="E33" s="2943">
        <v>8.6999999999999994E-2</v>
      </c>
      <c r="F33" s="2943">
        <v>0.1</v>
      </c>
      <c r="G33" s="2944">
        <v>9.7000000000000003E-2</v>
      </c>
    </row>
    <row r="34" spans="1:7">
      <c r="A34" s="2953" t="s">
        <v>296</v>
      </c>
      <c r="B34" s="2942" t="s">
        <v>156</v>
      </c>
      <c r="C34" s="2943">
        <v>8.4000000000000005E-2</v>
      </c>
      <c r="D34" s="2943">
        <v>9.7000000000000003E-2</v>
      </c>
      <c r="E34" s="2943">
        <v>7.0999999999999994E-2</v>
      </c>
      <c r="F34" s="2943">
        <v>0.1</v>
      </c>
      <c r="G34" s="2944">
        <v>9.8000000000000004E-2</v>
      </c>
    </row>
    <row r="35" spans="1:7">
      <c r="A35" s="2953" t="s">
        <v>296</v>
      </c>
      <c r="B35" s="2942" t="s">
        <v>163</v>
      </c>
      <c r="C35" s="2943">
        <v>8.3000000000000004E-2</v>
      </c>
      <c r="D35" s="2943">
        <v>9.7000000000000003E-2</v>
      </c>
      <c r="E35" s="2943">
        <v>6.0999999999999999E-2</v>
      </c>
      <c r="F35" s="2943">
        <v>0.1</v>
      </c>
      <c r="G35" s="2944">
        <v>9.9000000000000005E-2</v>
      </c>
    </row>
    <row r="36" spans="1:7">
      <c r="A36" s="2953" t="s">
        <v>296</v>
      </c>
      <c r="B36" s="2942" t="s">
        <v>169</v>
      </c>
      <c r="C36" s="2943">
        <v>9.7000000000000003E-2</v>
      </c>
      <c r="D36" s="2943">
        <v>9.7000000000000003E-2</v>
      </c>
      <c r="E36" s="2943">
        <v>7.8E-2</v>
      </c>
      <c r="F36" s="2943">
        <v>0.1</v>
      </c>
      <c r="G36" s="2944">
        <v>9.9000000000000005E-2</v>
      </c>
    </row>
    <row r="37" spans="1:7">
      <c r="A37" s="2953" t="s">
        <v>296</v>
      </c>
      <c r="B37" s="2942" t="s">
        <v>176</v>
      </c>
      <c r="C37" s="2943">
        <v>9.7000000000000003E-2</v>
      </c>
      <c r="D37" s="2943">
        <v>9.5000000000000001E-2</v>
      </c>
      <c r="E37" s="2943">
        <v>7.8E-2</v>
      </c>
      <c r="F37" s="2943">
        <v>0.1</v>
      </c>
      <c r="G37" s="2944">
        <v>9.7000000000000003E-2</v>
      </c>
    </row>
    <row r="38" spans="1:7">
      <c r="A38" s="2953" t="s">
        <v>296</v>
      </c>
      <c r="B38" s="2942" t="s">
        <v>186</v>
      </c>
      <c r="C38" s="2943">
        <v>9.7000000000000003E-2</v>
      </c>
      <c r="D38" s="2943">
        <v>7.6999999999999999E-2</v>
      </c>
      <c r="E38" s="2943">
        <v>7.0000000000000007E-2</v>
      </c>
      <c r="F38" s="2943">
        <v>0.1</v>
      </c>
      <c r="G38" s="2944">
        <v>7.6999999999999999E-2</v>
      </c>
    </row>
    <row r="39" spans="1:7">
      <c r="A39" s="2953" t="s">
        <v>296</v>
      </c>
      <c r="B39" s="2942" t="s">
        <v>195</v>
      </c>
      <c r="C39" s="2943">
        <v>9.5000000000000001E-2</v>
      </c>
      <c r="D39" s="2943">
        <v>7.6999999999999999E-2</v>
      </c>
      <c r="E39" s="2943">
        <v>6.6000000000000003E-2</v>
      </c>
      <c r="F39" s="2943">
        <v>0.1</v>
      </c>
      <c r="G39" s="2944">
        <v>8.5999999999999993E-2</v>
      </c>
    </row>
    <row r="40" spans="1:7">
      <c r="A40" s="2953" t="s">
        <v>296</v>
      </c>
      <c r="B40" s="2942" t="s">
        <v>202</v>
      </c>
      <c r="C40" s="2943">
        <v>7.6999999999999999E-2</v>
      </c>
      <c r="D40" s="2943">
        <v>7.8E-2</v>
      </c>
      <c r="E40" s="2943">
        <v>8.2000000000000003E-2</v>
      </c>
      <c r="F40" s="2954"/>
      <c r="G40" s="2944">
        <v>7.8E-2</v>
      </c>
    </row>
    <row r="41" spans="1:7">
      <c r="A41" s="2953" t="s">
        <v>296</v>
      </c>
      <c r="B41" s="2942" t="s">
        <v>209</v>
      </c>
      <c r="C41" s="2943">
        <v>7.8E-2</v>
      </c>
      <c r="D41" s="2943">
        <v>7.8E-2</v>
      </c>
      <c r="E41" s="2943">
        <v>8.2000000000000003E-2</v>
      </c>
      <c r="F41" s="2954"/>
      <c r="G41" s="2944">
        <v>8.5999999999999993E-2</v>
      </c>
    </row>
    <row r="42" spans="1:7">
      <c r="A42" s="2953" t="s">
        <v>296</v>
      </c>
      <c r="B42" s="2942" t="s">
        <v>215</v>
      </c>
      <c r="C42" s="2943">
        <v>7.8E-2</v>
      </c>
      <c r="D42" s="2943">
        <v>9.6000000000000002E-2</v>
      </c>
      <c r="E42" s="2943">
        <v>7.1999999999999995E-2</v>
      </c>
      <c r="F42" s="2954"/>
      <c r="G42" s="2944">
        <v>9.8000000000000004E-2</v>
      </c>
    </row>
    <row r="43" spans="1:7">
      <c r="A43" s="2953" t="s">
        <v>2840</v>
      </c>
      <c r="B43" s="2942" t="s">
        <v>223</v>
      </c>
      <c r="C43" s="2943">
        <v>7.8E-2</v>
      </c>
      <c r="D43" s="2943">
        <v>9.9000000000000005E-2</v>
      </c>
      <c r="E43" s="2943">
        <v>9.6000000000000002E-2</v>
      </c>
      <c r="F43" s="2954"/>
      <c r="G43" s="2944">
        <v>0.1</v>
      </c>
    </row>
    <row r="44" spans="1:7">
      <c r="A44" s="2953" t="s">
        <v>296</v>
      </c>
      <c r="B44" s="2942" t="s">
        <v>231</v>
      </c>
      <c r="C44" s="2943">
        <v>9.6000000000000002E-2</v>
      </c>
      <c r="D44" s="2943">
        <v>0.1</v>
      </c>
      <c r="E44" s="2943">
        <v>9.8000000000000004E-2</v>
      </c>
      <c r="F44" s="2954"/>
      <c r="G44" s="2944">
        <v>0.1</v>
      </c>
    </row>
    <row r="45" spans="1:7">
      <c r="A45" s="2953" t="s">
        <v>296</v>
      </c>
      <c r="B45" s="2942" t="s">
        <v>236</v>
      </c>
      <c r="C45" s="2943">
        <v>9.9000000000000005E-2</v>
      </c>
      <c r="D45" s="2943">
        <v>9.8000000000000004E-2</v>
      </c>
      <c r="E45" s="2943">
        <v>9.5000000000000001E-2</v>
      </c>
      <c r="F45" s="2954"/>
      <c r="G45" s="2944">
        <v>9.8000000000000004E-2</v>
      </c>
    </row>
    <row r="46" spans="1:7">
      <c r="A46" s="2953" t="s">
        <v>296</v>
      </c>
      <c r="B46" s="2942" t="s">
        <v>245</v>
      </c>
      <c r="C46" s="2943">
        <v>0.1</v>
      </c>
      <c r="D46" s="2943">
        <v>9.9000000000000005E-2</v>
      </c>
      <c r="E46" s="2943">
        <v>9.6000000000000002E-2</v>
      </c>
      <c r="F46" s="2954"/>
      <c r="G46" s="2944">
        <v>0.1</v>
      </c>
    </row>
    <row r="47" spans="1:7">
      <c r="A47" s="2953" t="s">
        <v>296</v>
      </c>
      <c r="B47" s="2942" t="s">
        <v>252</v>
      </c>
      <c r="C47" s="2943">
        <v>9.8000000000000004E-2</v>
      </c>
      <c r="D47" s="2943">
        <v>8.6999999999999994E-2</v>
      </c>
      <c r="E47" s="2943">
        <v>5.8999999999999997E-2</v>
      </c>
      <c r="F47" s="2954"/>
      <c r="G47" s="2944">
        <v>9.6000000000000002E-2</v>
      </c>
    </row>
    <row r="48" spans="1:7">
      <c r="A48" s="2953" t="s">
        <v>296</v>
      </c>
      <c r="B48" s="2942" t="s">
        <v>260</v>
      </c>
      <c r="C48" s="2943">
        <v>9.9000000000000005E-2</v>
      </c>
      <c r="D48" s="2943">
        <v>9.8000000000000004E-2</v>
      </c>
      <c r="E48" s="2943">
        <v>9.5000000000000001E-2</v>
      </c>
      <c r="F48" s="2954"/>
      <c r="G48" s="2944">
        <v>9.8000000000000004E-2</v>
      </c>
    </row>
    <row r="49" spans="1:7">
      <c r="A49" s="2953" t="s">
        <v>296</v>
      </c>
      <c r="B49" s="2942" t="s">
        <v>267</v>
      </c>
      <c r="C49" s="2943">
        <v>8.7999999999999995E-2</v>
      </c>
      <c r="D49" s="2943">
        <v>9.9000000000000005E-2</v>
      </c>
      <c r="E49" s="2943">
        <v>7.0000000000000007E-2</v>
      </c>
      <c r="F49" s="2954"/>
      <c r="G49" s="2944">
        <v>0.1</v>
      </c>
    </row>
    <row r="50" spans="1:7">
      <c r="A50" s="2953" t="s">
        <v>296</v>
      </c>
      <c r="B50" s="2942" t="s">
        <v>2924</v>
      </c>
      <c r="C50" s="2943">
        <v>9.8000000000000004E-2</v>
      </c>
      <c r="D50" s="2943">
        <v>7.2999999999999995E-2</v>
      </c>
      <c r="E50" s="2943">
        <v>7.0999999999999994E-2</v>
      </c>
      <c r="F50" s="2954"/>
      <c r="G50" s="2944">
        <v>7.2999999999999995E-2</v>
      </c>
    </row>
    <row r="51" spans="1:7">
      <c r="A51" s="2953" t="s">
        <v>296</v>
      </c>
      <c r="B51" s="2942" t="s">
        <v>2926</v>
      </c>
      <c r="C51" s="2943">
        <v>9.9000000000000005E-2</v>
      </c>
      <c r="D51" s="2943">
        <v>8.5000000000000006E-2</v>
      </c>
      <c r="E51" s="2943">
        <v>6.3E-2</v>
      </c>
      <c r="F51" s="2954"/>
      <c r="G51" s="2944">
        <v>9.6000000000000002E-2</v>
      </c>
    </row>
    <row r="52" spans="1:7">
      <c r="A52" s="2953" t="s">
        <v>296</v>
      </c>
      <c r="B52" s="2942" t="s">
        <v>2930</v>
      </c>
      <c r="C52" s="2943">
        <v>7.3999999999999996E-2</v>
      </c>
      <c r="D52" s="2943">
        <v>9.6000000000000002E-2</v>
      </c>
      <c r="E52" s="2943">
        <v>0.05</v>
      </c>
      <c r="F52" s="2954"/>
      <c r="G52" s="2944">
        <v>9.8000000000000004E-2</v>
      </c>
    </row>
    <row r="53" spans="1:7">
      <c r="A53" s="2953" t="s">
        <v>296</v>
      </c>
      <c r="B53" s="2942" t="s">
        <v>2935</v>
      </c>
      <c r="C53" s="2943">
        <v>8.5999999999999993E-2</v>
      </c>
      <c r="D53" s="2954"/>
      <c r="E53" s="2943">
        <v>9.1999999999999998E-2</v>
      </c>
      <c r="F53" s="2954"/>
      <c r="G53" s="2955"/>
    </row>
    <row r="54" spans="1:7" ht="14.25" thickBot="1">
      <c r="A54" s="2956" t="s">
        <v>296</v>
      </c>
      <c r="B54" s="2946" t="s">
        <v>2938</v>
      </c>
      <c r="C54" s="2947">
        <v>9.6000000000000002E-2</v>
      </c>
      <c r="D54" s="2948"/>
      <c r="E54" s="2957"/>
      <c r="F54" s="2948"/>
      <c r="G54" s="2958"/>
    </row>
    <row r="55" spans="1:7">
      <c r="A55" s="2952" t="s">
        <v>110</v>
      </c>
      <c r="B55" s="2938" t="s">
        <v>2855</v>
      </c>
      <c r="C55" s="2939">
        <v>9.6000000000000002E-2</v>
      </c>
      <c r="D55" s="2939">
        <v>8.4000000000000005E-2</v>
      </c>
      <c r="E55" s="2939">
        <v>9.1999999999999998E-2</v>
      </c>
      <c r="F55" s="2939">
        <v>0.1</v>
      </c>
      <c r="G55" s="2940">
        <v>9.5000000000000001E-2</v>
      </c>
    </row>
    <row r="56" spans="1:7">
      <c r="A56" s="2953" t="s">
        <v>110</v>
      </c>
      <c r="B56" s="2942" t="s">
        <v>130</v>
      </c>
      <c r="C56" s="2943">
        <v>8.4000000000000005E-2</v>
      </c>
      <c r="D56" s="2943">
        <v>9.1999999999999998E-2</v>
      </c>
      <c r="E56" s="2943">
        <v>9.5000000000000001E-2</v>
      </c>
      <c r="F56" s="2943">
        <v>9.1999999999999998E-2</v>
      </c>
      <c r="G56" s="2944">
        <v>9.6000000000000002E-2</v>
      </c>
    </row>
    <row r="57" spans="1:7">
      <c r="A57" s="2953" t="s">
        <v>110</v>
      </c>
      <c r="B57" s="2942" t="s">
        <v>139</v>
      </c>
      <c r="C57" s="2943">
        <v>9.9000000000000005E-2</v>
      </c>
      <c r="D57" s="2943">
        <v>9.6000000000000002E-2</v>
      </c>
      <c r="E57" s="2943">
        <v>9.1999999999999998E-2</v>
      </c>
      <c r="F57" s="2943">
        <v>0.1</v>
      </c>
      <c r="G57" s="2944">
        <v>9.8000000000000004E-2</v>
      </c>
    </row>
    <row r="58" spans="1:7">
      <c r="A58" s="2953" t="s">
        <v>110</v>
      </c>
      <c r="B58" s="2942" t="s">
        <v>148</v>
      </c>
      <c r="C58" s="2943">
        <v>9.8000000000000004E-2</v>
      </c>
      <c r="D58" s="2943">
        <v>9.5000000000000001E-2</v>
      </c>
      <c r="E58" s="2943">
        <v>5.7000000000000002E-2</v>
      </c>
      <c r="F58" s="2943">
        <v>0.1</v>
      </c>
      <c r="G58" s="2944">
        <v>9.6000000000000002E-2</v>
      </c>
    </row>
    <row r="59" spans="1:7">
      <c r="A59" s="2953" t="s">
        <v>110</v>
      </c>
      <c r="B59" s="2942" t="s">
        <v>157</v>
      </c>
      <c r="C59" s="2943">
        <v>9.5000000000000001E-2</v>
      </c>
      <c r="D59" s="2943">
        <v>0.1</v>
      </c>
      <c r="E59" s="2943">
        <v>7.4999999999999997E-2</v>
      </c>
      <c r="F59" s="2943">
        <v>0.1</v>
      </c>
      <c r="G59" s="2944">
        <v>0.1</v>
      </c>
    </row>
    <row r="60" spans="1:7">
      <c r="A60" s="2953" t="s">
        <v>110</v>
      </c>
      <c r="B60" s="2942" t="s">
        <v>164</v>
      </c>
      <c r="C60" s="2943">
        <v>0.1</v>
      </c>
      <c r="D60" s="2943">
        <v>9.7000000000000003E-2</v>
      </c>
      <c r="E60" s="2943">
        <v>0.1</v>
      </c>
      <c r="F60" s="2943">
        <v>0.1</v>
      </c>
      <c r="G60" s="2944">
        <v>9.7000000000000003E-2</v>
      </c>
    </row>
    <row r="61" spans="1:7">
      <c r="A61" s="2953" t="s">
        <v>110</v>
      </c>
      <c r="B61" s="2942" t="s">
        <v>170</v>
      </c>
      <c r="C61" s="2943">
        <v>9.7000000000000003E-2</v>
      </c>
      <c r="D61" s="2943">
        <v>0.1</v>
      </c>
      <c r="E61" s="2943">
        <v>9.2999999999999999E-2</v>
      </c>
      <c r="F61" s="2943">
        <v>0.1</v>
      </c>
      <c r="G61" s="2944">
        <v>0.1</v>
      </c>
    </row>
    <row r="62" spans="1:7">
      <c r="A62" s="2953" t="s">
        <v>110</v>
      </c>
      <c r="B62" s="2942" t="s">
        <v>177</v>
      </c>
      <c r="C62" s="2943">
        <v>0.1</v>
      </c>
      <c r="D62" s="2943">
        <v>9.7000000000000003E-2</v>
      </c>
      <c r="E62" s="2943">
        <v>8.8999999999999996E-2</v>
      </c>
      <c r="F62" s="2943">
        <v>0.1</v>
      </c>
      <c r="G62" s="2944">
        <v>9.8000000000000004E-2</v>
      </c>
    </row>
    <row r="63" spans="1:7">
      <c r="A63" s="2953" t="s">
        <v>110</v>
      </c>
      <c r="B63" s="2942" t="s">
        <v>187</v>
      </c>
      <c r="C63" s="2943">
        <v>9.7000000000000003E-2</v>
      </c>
      <c r="D63" s="2943">
        <v>9.7000000000000003E-2</v>
      </c>
      <c r="E63" s="2943">
        <v>9.9000000000000005E-2</v>
      </c>
      <c r="F63" s="2943">
        <v>0.1</v>
      </c>
      <c r="G63" s="2944">
        <v>9.7000000000000003E-2</v>
      </c>
    </row>
    <row r="64" spans="1:7">
      <c r="A64" s="2953" t="s">
        <v>110</v>
      </c>
      <c r="B64" s="2942" t="s">
        <v>196</v>
      </c>
      <c r="C64" s="2943">
        <v>9.7000000000000003E-2</v>
      </c>
      <c r="D64" s="2943">
        <v>7.3999999999999996E-2</v>
      </c>
      <c r="E64" s="2943">
        <v>7.8E-2</v>
      </c>
      <c r="F64" s="2943">
        <v>0.1</v>
      </c>
      <c r="G64" s="2944">
        <v>8.8999999999999996E-2</v>
      </c>
    </row>
    <row r="65" spans="1:7">
      <c r="A65" s="2953" t="s">
        <v>110</v>
      </c>
      <c r="B65" s="2942" t="s">
        <v>203</v>
      </c>
      <c r="C65" s="2943">
        <v>7.2999999999999995E-2</v>
      </c>
      <c r="D65" s="2943">
        <v>9.8000000000000004E-2</v>
      </c>
      <c r="E65" s="2943">
        <v>9.5000000000000001E-2</v>
      </c>
      <c r="F65" s="2943">
        <v>0.1</v>
      </c>
      <c r="G65" s="2944">
        <v>9.9000000000000005E-2</v>
      </c>
    </row>
    <row r="66" spans="1:7">
      <c r="A66" s="2953" t="s">
        <v>110</v>
      </c>
      <c r="B66" s="2942" t="s">
        <v>210</v>
      </c>
      <c r="C66" s="2943">
        <v>9.8000000000000004E-2</v>
      </c>
      <c r="D66" s="2943">
        <v>9.5000000000000001E-2</v>
      </c>
      <c r="E66" s="2943">
        <v>0.05</v>
      </c>
      <c r="F66" s="2943">
        <v>0.1</v>
      </c>
      <c r="G66" s="2944">
        <v>9.7000000000000003E-2</v>
      </c>
    </row>
    <row r="67" spans="1:7">
      <c r="A67" s="2953" t="s">
        <v>110</v>
      </c>
      <c r="B67" s="2942" t="s">
        <v>216</v>
      </c>
      <c r="C67" s="2943">
        <v>9.5000000000000001E-2</v>
      </c>
      <c r="D67" s="2943">
        <v>9.7000000000000003E-2</v>
      </c>
      <c r="E67" s="2943">
        <v>9.7000000000000003E-2</v>
      </c>
      <c r="F67" s="2943">
        <v>0.1</v>
      </c>
      <c r="G67" s="2944">
        <v>9.9000000000000005E-2</v>
      </c>
    </row>
    <row r="68" spans="1:7">
      <c r="A68" s="2953" t="s">
        <v>110</v>
      </c>
      <c r="B68" s="2942" t="s">
        <v>224</v>
      </c>
      <c r="C68" s="2943">
        <v>9.7000000000000003E-2</v>
      </c>
      <c r="D68" s="2943">
        <v>6.8000000000000005E-2</v>
      </c>
      <c r="E68" s="2943">
        <v>6.6000000000000003E-2</v>
      </c>
      <c r="F68" s="2943">
        <v>0.1</v>
      </c>
      <c r="G68" s="2944">
        <v>8.4000000000000005E-2</v>
      </c>
    </row>
    <row r="69" spans="1:7">
      <c r="A69" s="2953" t="s">
        <v>110</v>
      </c>
      <c r="B69" s="2942" t="s">
        <v>232</v>
      </c>
      <c r="C69" s="2943">
        <v>6.8000000000000005E-2</v>
      </c>
      <c r="D69" s="2943">
        <v>9.8000000000000004E-2</v>
      </c>
      <c r="E69" s="2943">
        <v>9.5000000000000001E-2</v>
      </c>
      <c r="F69" s="2943">
        <v>0.1</v>
      </c>
      <c r="G69" s="2944">
        <v>0.1</v>
      </c>
    </row>
    <row r="70" spans="1:7">
      <c r="A70" s="2953" t="s">
        <v>110</v>
      </c>
      <c r="B70" s="2942" t="s">
        <v>237</v>
      </c>
      <c r="C70" s="2943">
        <v>9.8000000000000004E-2</v>
      </c>
      <c r="D70" s="2943">
        <v>8.8999999999999996E-2</v>
      </c>
      <c r="E70" s="2943">
        <v>5.8999999999999997E-2</v>
      </c>
      <c r="F70" s="2943">
        <v>0.1</v>
      </c>
      <c r="G70" s="2944">
        <v>9.6000000000000002E-2</v>
      </c>
    </row>
    <row r="71" spans="1:7">
      <c r="A71" s="2953" t="s">
        <v>110</v>
      </c>
      <c r="B71" s="2942" t="s">
        <v>246</v>
      </c>
      <c r="C71" s="2943">
        <v>8.8999999999999996E-2</v>
      </c>
      <c r="D71" s="2943">
        <v>9.9000000000000005E-2</v>
      </c>
      <c r="E71" s="2943">
        <v>9.6000000000000002E-2</v>
      </c>
      <c r="F71" s="2943">
        <v>0.1</v>
      </c>
      <c r="G71" s="2944">
        <v>0.1</v>
      </c>
    </row>
    <row r="72" spans="1:7">
      <c r="A72" s="2953" t="s">
        <v>110</v>
      </c>
      <c r="B72" s="2942" t="s">
        <v>253</v>
      </c>
      <c r="C72" s="2943">
        <v>9.9000000000000005E-2</v>
      </c>
      <c r="D72" s="2943">
        <v>0.1</v>
      </c>
      <c r="E72" s="2943">
        <v>7.0000000000000007E-2</v>
      </c>
      <c r="F72" s="2954"/>
      <c r="G72" s="2944">
        <v>0.1</v>
      </c>
    </row>
    <row r="73" spans="1:7">
      <c r="A73" s="2953" t="s">
        <v>110</v>
      </c>
      <c r="B73" s="2942" t="s">
        <v>261</v>
      </c>
      <c r="C73" s="2943">
        <v>0.1</v>
      </c>
      <c r="D73" s="2943">
        <v>0.1</v>
      </c>
      <c r="E73" s="2943">
        <v>9.6000000000000002E-2</v>
      </c>
      <c r="F73" s="2954"/>
      <c r="G73" s="2944">
        <v>0.1</v>
      </c>
    </row>
    <row r="74" spans="1:7">
      <c r="A74" s="2953" t="s">
        <v>110</v>
      </c>
      <c r="B74" s="2942" t="s">
        <v>268</v>
      </c>
      <c r="C74" s="2943">
        <v>0.1</v>
      </c>
      <c r="D74" s="2943">
        <v>0.1</v>
      </c>
      <c r="E74" s="2943">
        <v>9.8000000000000004E-2</v>
      </c>
      <c r="F74" s="2954"/>
      <c r="G74" s="2944">
        <v>0.1</v>
      </c>
    </row>
    <row r="75" spans="1:7">
      <c r="A75" s="2953" t="s">
        <v>110</v>
      </c>
      <c r="B75" s="2942" t="s">
        <v>272</v>
      </c>
      <c r="C75" s="2943">
        <v>0.1</v>
      </c>
      <c r="D75" s="2943">
        <v>9.9000000000000005E-2</v>
      </c>
      <c r="E75" s="2943">
        <v>9.8000000000000004E-2</v>
      </c>
      <c r="F75" s="2954"/>
      <c r="G75" s="2944">
        <v>0.1</v>
      </c>
    </row>
    <row r="76" spans="1:7">
      <c r="A76" s="2953" t="s">
        <v>110</v>
      </c>
      <c r="B76" s="2942" t="s">
        <v>278</v>
      </c>
      <c r="C76" s="2943">
        <v>9.9000000000000005E-2</v>
      </c>
      <c r="D76" s="2943">
        <v>0.1</v>
      </c>
      <c r="E76" s="2943">
        <v>9.7000000000000003E-2</v>
      </c>
      <c r="F76" s="2954"/>
      <c r="G76" s="2944">
        <v>0.1</v>
      </c>
    </row>
    <row r="77" spans="1:7">
      <c r="A77" s="2953" t="s">
        <v>110</v>
      </c>
      <c r="B77" s="2942" t="s">
        <v>281</v>
      </c>
      <c r="C77" s="2943">
        <v>0.1</v>
      </c>
      <c r="D77" s="2943">
        <v>0.1</v>
      </c>
      <c r="E77" s="2943">
        <v>9.6000000000000002E-2</v>
      </c>
      <c r="F77" s="2954"/>
      <c r="G77" s="2944">
        <v>0.1</v>
      </c>
    </row>
    <row r="78" spans="1:7">
      <c r="A78" s="2953" t="s">
        <v>110</v>
      </c>
      <c r="B78" s="2942" t="s">
        <v>2936</v>
      </c>
      <c r="C78" s="2943">
        <v>0.1</v>
      </c>
      <c r="D78" s="2943">
        <v>8.5000000000000006E-2</v>
      </c>
      <c r="E78" s="2943">
        <v>9.6000000000000002E-2</v>
      </c>
      <c r="F78" s="2954"/>
      <c r="G78" s="2944">
        <v>9.6000000000000002E-2</v>
      </c>
    </row>
    <row r="79" spans="1:7">
      <c r="A79" s="2953" t="s">
        <v>110</v>
      </c>
      <c r="B79" s="2942" t="s">
        <v>2939</v>
      </c>
      <c r="C79" s="2943">
        <v>0.05</v>
      </c>
      <c r="D79" s="2943">
        <v>9.6000000000000002E-2</v>
      </c>
      <c r="E79" s="2943">
        <v>9.5000000000000001E-2</v>
      </c>
      <c r="F79" s="2954"/>
      <c r="G79" s="2944">
        <v>9.8000000000000004E-2</v>
      </c>
    </row>
    <row r="80" spans="1:7">
      <c r="A80" s="2953" t="s">
        <v>110</v>
      </c>
      <c r="B80" s="2942" t="s">
        <v>2943</v>
      </c>
      <c r="C80" s="2943">
        <v>8.5999999999999993E-2</v>
      </c>
      <c r="D80" s="2959"/>
      <c r="E80" s="2943">
        <v>0.1</v>
      </c>
      <c r="F80" s="2954"/>
      <c r="G80" s="2955"/>
    </row>
    <row r="81" spans="1:7">
      <c r="A81" s="2953" t="s">
        <v>110</v>
      </c>
      <c r="B81" s="2942" t="s">
        <v>2948</v>
      </c>
      <c r="C81" s="2943">
        <v>9.6000000000000002E-2</v>
      </c>
      <c r="D81" s="2954"/>
      <c r="E81" s="2943">
        <v>9.8000000000000004E-2</v>
      </c>
      <c r="F81" s="2954"/>
      <c r="G81" s="2955"/>
    </row>
    <row r="82" spans="1:7">
      <c r="A82" s="2953" t="s">
        <v>110</v>
      </c>
      <c r="B82" s="2942" t="s">
        <v>2955</v>
      </c>
      <c r="C82" s="2959"/>
      <c r="D82" s="2954"/>
      <c r="E82" s="2943">
        <v>7.6999999999999999E-2</v>
      </c>
      <c r="F82" s="2954"/>
      <c r="G82" s="2955"/>
    </row>
    <row r="83" spans="1:7">
      <c r="A83" s="2953" t="s">
        <v>110</v>
      </c>
      <c r="B83" s="2942" t="s">
        <v>2961</v>
      </c>
      <c r="C83" s="2954"/>
      <c r="D83" s="2954"/>
      <c r="E83" s="2954"/>
      <c r="F83" s="2943">
        <v>0.1</v>
      </c>
      <c r="G83" s="2960"/>
    </row>
    <row r="84" spans="1:7">
      <c r="A84" s="2953" t="s">
        <v>110</v>
      </c>
      <c r="B84" s="2942" t="s">
        <v>2968</v>
      </c>
      <c r="C84" s="2954"/>
      <c r="D84" s="2954"/>
      <c r="E84" s="2954"/>
      <c r="F84" s="2943">
        <v>0.1</v>
      </c>
      <c r="G84" s="2960"/>
    </row>
    <row r="85" spans="1:7">
      <c r="A85" s="2953" t="s">
        <v>110</v>
      </c>
      <c r="B85" s="2942" t="s">
        <v>2975</v>
      </c>
      <c r="C85" s="2954"/>
      <c r="D85" s="2954"/>
      <c r="E85" s="2954"/>
      <c r="F85" s="2943">
        <v>0.1</v>
      </c>
      <c r="G85" s="2960"/>
    </row>
    <row r="86" spans="1:7" ht="14.25" thickBot="1">
      <c r="A86" s="2956" t="s">
        <v>110</v>
      </c>
      <c r="B86" s="2946" t="s">
        <v>2980</v>
      </c>
      <c r="C86" s="2947">
        <v>9.8000000000000004E-2</v>
      </c>
      <c r="D86" s="2947">
        <v>9.8000000000000004E-2</v>
      </c>
      <c r="E86" s="2947">
        <v>9.6000000000000002E-2</v>
      </c>
      <c r="F86" s="2957"/>
      <c r="G86" s="2949">
        <v>0.1</v>
      </c>
    </row>
    <row r="87" spans="1:7">
      <c r="A87" s="2952" t="s">
        <v>303</v>
      </c>
      <c r="B87" s="2938" t="s">
        <v>2856</v>
      </c>
      <c r="C87" s="2939">
        <v>0.1</v>
      </c>
      <c r="D87" s="2939">
        <v>0.1</v>
      </c>
      <c r="E87" s="2939">
        <v>9.8000000000000004E-2</v>
      </c>
      <c r="F87" s="2939">
        <v>0.1</v>
      </c>
      <c r="G87" s="2940">
        <v>0.1</v>
      </c>
    </row>
    <row r="88" spans="1:7">
      <c r="A88" s="2953" t="s">
        <v>303</v>
      </c>
      <c r="B88" s="2942" t="s">
        <v>131</v>
      </c>
      <c r="C88" s="2943">
        <v>9.0999999999999998E-2</v>
      </c>
      <c r="D88" s="2943">
        <v>9.1999999999999998E-2</v>
      </c>
      <c r="E88" s="2943">
        <v>0.1</v>
      </c>
      <c r="F88" s="2943">
        <v>0.1</v>
      </c>
      <c r="G88" s="2944">
        <v>9.6000000000000002E-2</v>
      </c>
    </row>
    <row r="89" spans="1:7">
      <c r="A89" s="2953" t="s">
        <v>303</v>
      </c>
      <c r="B89" s="2942" t="s">
        <v>140</v>
      </c>
      <c r="C89" s="2943">
        <v>0.1</v>
      </c>
      <c r="D89" s="2943">
        <v>0.1</v>
      </c>
      <c r="E89" s="2943">
        <v>6.7000000000000004E-2</v>
      </c>
      <c r="F89" s="2943">
        <v>9.2999999999999999E-2</v>
      </c>
      <c r="G89" s="2944">
        <v>0.1</v>
      </c>
    </row>
    <row r="90" spans="1:7">
      <c r="A90" s="2953" t="s">
        <v>303</v>
      </c>
      <c r="B90" s="2942" t="s">
        <v>149</v>
      </c>
      <c r="C90" s="2943">
        <v>9.6000000000000002E-2</v>
      </c>
      <c r="D90" s="2943">
        <v>9.6000000000000002E-2</v>
      </c>
      <c r="E90" s="2943">
        <v>0.1</v>
      </c>
      <c r="F90" s="2943">
        <v>0.1</v>
      </c>
      <c r="G90" s="2944">
        <v>9.8000000000000004E-2</v>
      </c>
    </row>
    <row r="91" spans="1:7">
      <c r="A91" s="2953" t="s">
        <v>303</v>
      </c>
      <c r="B91" s="2942" t="s">
        <v>158</v>
      </c>
      <c r="C91" s="2943">
        <v>7.6999999999999999E-2</v>
      </c>
      <c r="D91" s="2943">
        <v>7.6999999999999999E-2</v>
      </c>
      <c r="E91" s="2943">
        <v>9.6000000000000002E-2</v>
      </c>
      <c r="F91" s="2943">
        <v>0.1</v>
      </c>
      <c r="G91" s="2944">
        <v>7.6999999999999999E-2</v>
      </c>
    </row>
    <row r="92" spans="1:7">
      <c r="A92" s="2953" t="s">
        <v>303</v>
      </c>
      <c r="B92" s="2942" t="s">
        <v>165</v>
      </c>
      <c r="C92" s="2943">
        <v>0.1</v>
      </c>
      <c r="D92" s="2943">
        <v>0.1</v>
      </c>
      <c r="E92" s="2943">
        <v>9.1999999999999998E-2</v>
      </c>
      <c r="F92" s="2943">
        <v>0.1</v>
      </c>
      <c r="G92" s="2944">
        <v>0.1</v>
      </c>
    </row>
    <row r="93" spans="1:7">
      <c r="A93" s="2953" t="s">
        <v>303</v>
      </c>
      <c r="B93" s="2942" t="s">
        <v>171</v>
      </c>
      <c r="C93" s="2943">
        <v>9.8000000000000004E-2</v>
      </c>
      <c r="D93" s="2943">
        <v>9.8000000000000004E-2</v>
      </c>
      <c r="E93" s="2943">
        <v>9.6000000000000002E-2</v>
      </c>
      <c r="F93" s="2943">
        <v>0.1</v>
      </c>
      <c r="G93" s="2944">
        <v>9.9000000000000005E-2</v>
      </c>
    </row>
    <row r="94" spans="1:7">
      <c r="A94" s="2953" t="s">
        <v>303</v>
      </c>
      <c r="B94" s="2942" t="s">
        <v>178</v>
      </c>
      <c r="C94" s="2943">
        <v>8.7999999999999995E-2</v>
      </c>
      <c r="D94" s="2943">
        <v>8.7999999999999995E-2</v>
      </c>
      <c r="E94" s="2943">
        <v>9.6000000000000002E-2</v>
      </c>
      <c r="F94" s="2943">
        <v>0.1</v>
      </c>
      <c r="G94" s="2944">
        <v>8.7999999999999995E-2</v>
      </c>
    </row>
    <row r="95" spans="1:7">
      <c r="A95" s="2953" t="s">
        <v>303</v>
      </c>
      <c r="B95" s="2942" t="s">
        <v>188</v>
      </c>
      <c r="C95" s="2943">
        <v>9.6000000000000002E-2</v>
      </c>
      <c r="D95" s="2943">
        <v>9.6000000000000002E-2</v>
      </c>
      <c r="E95" s="2943">
        <v>0.1</v>
      </c>
      <c r="F95" s="2943">
        <v>0.1</v>
      </c>
      <c r="G95" s="2944">
        <v>9.8000000000000004E-2</v>
      </c>
    </row>
    <row r="96" spans="1:7">
      <c r="A96" s="2953" t="s">
        <v>303</v>
      </c>
      <c r="B96" s="2942" t="s">
        <v>197</v>
      </c>
      <c r="C96" s="2943">
        <v>9.7000000000000003E-2</v>
      </c>
      <c r="D96" s="2943">
        <v>9.7000000000000003E-2</v>
      </c>
      <c r="E96" s="2943">
        <v>0.1</v>
      </c>
      <c r="F96" s="2943">
        <v>0.1</v>
      </c>
      <c r="G96" s="2944">
        <v>9.8000000000000004E-2</v>
      </c>
    </row>
    <row r="97" spans="1:7">
      <c r="A97" s="2953" t="s">
        <v>303</v>
      </c>
      <c r="B97" s="2942" t="s">
        <v>204</v>
      </c>
      <c r="C97" s="2943">
        <v>9.6000000000000002E-2</v>
      </c>
      <c r="D97" s="2943">
        <v>9.6000000000000002E-2</v>
      </c>
      <c r="E97" s="2943">
        <v>9.9000000000000005E-2</v>
      </c>
      <c r="F97" s="2943">
        <v>0.1</v>
      </c>
      <c r="G97" s="2944">
        <v>9.8000000000000004E-2</v>
      </c>
    </row>
    <row r="98" spans="1:7">
      <c r="A98" s="2953" t="s">
        <v>303</v>
      </c>
      <c r="B98" s="2942" t="s">
        <v>211</v>
      </c>
      <c r="C98" s="2943">
        <v>9.8000000000000004E-2</v>
      </c>
      <c r="D98" s="2943">
        <v>9.8000000000000004E-2</v>
      </c>
      <c r="E98" s="2943">
        <v>0.1</v>
      </c>
      <c r="F98" s="2943">
        <v>0.1</v>
      </c>
      <c r="G98" s="2944">
        <v>9.9000000000000005E-2</v>
      </c>
    </row>
    <row r="99" spans="1:7">
      <c r="A99" s="2953" t="s">
        <v>303</v>
      </c>
      <c r="B99" s="2942" t="s">
        <v>217</v>
      </c>
      <c r="C99" s="2943">
        <v>9.6000000000000002E-2</v>
      </c>
      <c r="D99" s="2943">
        <v>9.6000000000000002E-2</v>
      </c>
      <c r="E99" s="2943">
        <v>0.1</v>
      </c>
      <c r="F99" s="2943">
        <v>0.1</v>
      </c>
      <c r="G99" s="2944">
        <v>9.7000000000000003E-2</v>
      </c>
    </row>
    <row r="100" spans="1:7">
      <c r="A100" s="2953" t="s">
        <v>303</v>
      </c>
      <c r="B100" s="2942" t="s">
        <v>225</v>
      </c>
      <c r="C100" s="2943">
        <v>0.1</v>
      </c>
      <c r="D100" s="2943">
        <v>0.1</v>
      </c>
      <c r="E100" s="2943">
        <v>9.7000000000000003E-2</v>
      </c>
      <c r="F100" s="2943">
        <v>9.8000000000000004E-2</v>
      </c>
      <c r="G100" s="2944">
        <v>0.1</v>
      </c>
    </row>
    <row r="101" spans="1:7">
      <c r="A101" s="2953" t="s">
        <v>303</v>
      </c>
      <c r="B101" s="2942" t="s">
        <v>233</v>
      </c>
      <c r="C101" s="2943">
        <v>0.1</v>
      </c>
      <c r="D101" s="2943">
        <v>0.1</v>
      </c>
      <c r="E101" s="2943">
        <v>9.5000000000000001E-2</v>
      </c>
      <c r="F101" s="2943">
        <v>0.1</v>
      </c>
      <c r="G101" s="2944">
        <v>0.1</v>
      </c>
    </row>
    <row r="102" spans="1:7">
      <c r="A102" s="2953" t="s">
        <v>303</v>
      </c>
      <c r="B102" s="2942" t="s">
        <v>238</v>
      </c>
      <c r="C102" s="2943">
        <v>0.1</v>
      </c>
      <c r="D102" s="2943">
        <v>0.1</v>
      </c>
      <c r="E102" s="2943">
        <v>9.9000000000000005E-2</v>
      </c>
      <c r="F102" s="2943">
        <v>9.7000000000000003E-2</v>
      </c>
      <c r="G102" s="2944">
        <v>0.1</v>
      </c>
    </row>
    <row r="103" spans="1:7">
      <c r="A103" s="2953" t="s">
        <v>303</v>
      </c>
      <c r="B103" s="2942" t="s">
        <v>247</v>
      </c>
      <c r="C103" s="2943">
        <v>0.1</v>
      </c>
      <c r="D103" s="2943">
        <v>0.1</v>
      </c>
      <c r="E103" s="2943">
        <v>9.8000000000000004E-2</v>
      </c>
      <c r="F103" s="2943">
        <v>0.1</v>
      </c>
      <c r="G103" s="2944">
        <v>0.1</v>
      </c>
    </row>
    <row r="104" spans="1:7">
      <c r="A104" s="2953" t="s">
        <v>303</v>
      </c>
      <c r="B104" s="2942" t="s">
        <v>254</v>
      </c>
      <c r="C104" s="2943">
        <v>0.1</v>
      </c>
      <c r="D104" s="2943">
        <v>0.1</v>
      </c>
      <c r="E104" s="2943">
        <v>9.8000000000000004E-2</v>
      </c>
      <c r="F104" s="2943">
        <v>0.1</v>
      </c>
      <c r="G104" s="2944">
        <v>0.1</v>
      </c>
    </row>
    <row r="105" spans="1:7">
      <c r="A105" s="2953" t="s">
        <v>303</v>
      </c>
      <c r="B105" s="2942" t="s">
        <v>262</v>
      </c>
      <c r="C105" s="2943">
        <v>9.8000000000000004E-2</v>
      </c>
      <c r="D105" s="2943">
        <v>9.8000000000000004E-2</v>
      </c>
      <c r="E105" s="2943">
        <v>9.8000000000000004E-2</v>
      </c>
      <c r="F105" s="2943">
        <v>0.1</v>
      </c>
      <c r="G105" s="2944">
        <v>9.9000000000000005E-2</v>
      </c>
    </row>
    <row r="106" spans="1:7">
      <c r="A106" s="2953" t="s">
        <v>303</v>
      </c>
      <c r="B106" s="2942" t="s">
        <v>269</v>
      </c>
      <c r="C106" s="2943">
        <v>9.7000000000000003E-2</v>
      </c>
      <c r="D106" s="2943">
        <v>9.7000000000000003E-2</v>
      </c>
      <c r="E106" s="2943">
        <v>9.7000000000000003E-2</v>
      </c>
      <c r="F106" s="2943">
        <v>0.1</v>
      </c>
      <c r="G106" s="2944">
        <v>9.9000000000000005E-2</v>
      </c>
    </row>
    <row r="107" spans="1:7">
      <c r="A107" s="2953" t="s">
        <v>303</v>
      </c>
      <c r="B107" s="2942" t="s">
        <v>273</v>
      </c>
      <c r="C107" s="2943">
        <v>0.1</v>
      </c>
      <c r="D107" s="2943">
        <v>0.1</v>
      </c>
      <c r="E107" s="2943">
        <v>8.5999999999999993E-2</v>
      </c>
      <c r="F107" s="2943">
        <v>0.09</v>
      </c>
      <c r="G107" s="2944">
        <v>0.1</v>
      </c>
    </row>
    <row r="108" spans="1:7">
      <c r="A108" s="2953" t="s">
        <v>303</v>
      </c>
      <c r="B108" s="2942" t="s">
        <v>279</v>
      </c>
      <c r="C108" s="2943">
        <v>0.1</v>
      </c>
      <c r="D108" s="2943">
        <v>0.1</v>
      </c>
      <c r="E108" s="2943">
        <v>9.6000000000000002E-2</v>
      </c>
      <c r="F108" s="2954"/>
      <c r="G108" s="2944">
        <v>0.1</v>
      </c>
    </row>
    <row r="109" spans="1:7">
      <c r="A109" s="2953" t="s">
        <v>303</v>
      </c>
      <c r="B109" s="2942" t="s">
        <v>282</v>
      </c>
      <c r="C109" s="2943">
        <v>0.1</v>
      </c>
      <c r="D109" s="2943">
        <v>0.1</v>
      </c>
      <c r="E109" s="2943">
        <v>0.1</v>
      </c>
      <c r="F109" s="2954"/>
      <c r="G109" s="2944">
        <v>0.1</v>
      </c>
    </row>
    <row r="110" spans="1:7">
      <c r="A110" s="2953" t="s">
        <v>303</v>
      </c>
      <c r="B110" s="2942" t="s">
        <v>284</v>
      </c>
      <c r="C110" s="2943">
        <v>0.1</v>
      </c>
      <c r="D110" s="2943">
        <v>0.1</v>
      </c>
      <c r="E110" s="2943">
        <v>0.1</v>
      </c>
      <c r="F110" s="2954"/>
      <c r="G110" s="2944">
        <v>0.1</v>
      </c>
    </row>
    <row r="111" spans="1:7">
      <c r="A111" s="2953" t="s">
        <v>303</v>
      </c>
      <c r="B111" s="2942" t="s">
        <v>287</v>
      </c>
      <c r="C111" s="2943">
        <v>0.1</v>
      </c>
      <c r="D111" s="2943">
        <v>0.1</v>
      </c>
      <c r="E111" s="2943">
        <v>9.5000000000000001E-2</v>
      </c>
      <c r="F111" s="2954"/>
      <c r="G111" s="2944">
        <v>0.1</v>
      </c>
    </row>
    <row r="112" spans="1:7">
      <c r="A112" s="2953" t="s">
        <v>303</v>
      </c>
      <c r="B112" s="2942" t="s">
        <v>291</v>
      </c>
      <c r="C112" s="2943">
        <v>9.7000000000000003E-2</v>
      </c>
      <c r="D112" s="2943">
        <v>9.7000000000000003E-2</v>
      </c>
      <c r="E112" s="2943">
        <v>0.05</v>
      </c>
      <c r="F112" s="2954"/>
      <c r="G112" s="2944">
        <v>9.8000000000000004E-2</v>
      </c>
    </row>
    <row r="113" spans="1:7">
      <c r="A113" s="2953" t="s">
        <v>303</v>
      </c>
      <c r="B113" s="2942" t="s">
        <v>2949</v>
      </c>
      <c r="C113" s="2943">
        <v>0.1</v>
      </c>
      <c r="D113" s="2943">
        <v>0.1</v>
      </c>
      <c r="E113" s="2954"/>
      <c r="F113" s="2954"/>
      <c r="G113" s="2944">
        <v>0.1</v>
      </c>
    </row>
    <row r="114" spans="1:7">
      <c r="A114" s="2953" t="s">
        <v>303</v>
      </c>
      <c r="B114" s="2942" t="s">
        <v>2956</v>
      </c>
      <c r="C114" s="2943">
        <v>9.7000000000000003E-2</v>
      </c>
      <c r="D114" s="2943">
        <v>9.7000000000000003E-2</v>
      </c>
      <c r="E114" s="2954"/>
      <c r="F114" s="2954"/>
      <c r="G114" s="2944">
        <v>9.9000000000000005E-2</v>
      </c>
    </row>
    <row r="115" spans="1:7">
      <c r="A115" s="2953" t="s">
        <v>303</v>
      </c>
      <c r="B115" s="2942" t="s">
        <v>2962</v>
      </c>
      <c r="C115" s="2943">
        <v>0.1</v>
      </c>
      <c r="D115" s="2943">
        <v>0.1</v>
      </c>
      <c r="E115" s="2954"/>
      <c r="F115" s="2954"/>
      <c r="G115" s="2944">
        <v>0.1</v>
      </c>
    </row>
    <row r="116" spans="1:7">
      <c r="A116" s="2953" t="s">
        <v>303</v>
      </c>
      <c r="B116" s="2942" t="s">
        <v>2969</v>
      </c>
      <c r="C116" s="2943">
        <v>0.1</v>
      </c>
      <c r="D116" s="2943">
        <v>0.1</v>
      </c>
      <c r="E116" s="2954"/>
      <c r="F116" s="2954"/>
      <c r="G116" s="2944">
        <v>0.1</v>
      </c>
    </row>
    <row r="117" spans="1:7">
      <c r="A117" s="2953" t="s">
        <v>303</v>
      </c>
      <c r="B117" s="2942" t="s">
        <v>2976</v>
      </c>
      <c r="C117" s="2943">
        <v>9.7000000000000003E-2</v>
      </c>
      <c r="D117" s="2943">
        <v>9.7000000000000003E-2</v>
      </c>
      <c r="E117" s="2954"/>
      <c r="F117" s="2954"/>
      <c r="G117" s="2944">
        <v>9.7000000000000003E-2</v>
      </c>
    </row>
    <row r="118" spans="1:7">
      <c r="A118" s="2953" t="s">
        <v>303</v>
      </c>
      <c r="B118" s="2942" t="s">
        <v>2981</v>
      </c>
      <c r="C118" s="2943">
        <v>0.1</v>
      </c>
      <c r="D118" s="2943">
        <v>0.1</v>
      </c>
      <c r="E118" s="2954"/>
      <c r="F118" s="2954"/>
      <c r="G118" s="2944">
        <v>0.1</v>
      </c>
    </row>
    <row r="119" spans="1:7">
      <c r="A119" s="2953" t="s">
        <v>303</v>
      </c>
      <c r="B119" s="2942" t="s">
        <v>2985</v>
      </c>
      <c r="C119" s="2943">
        <v>5.0999999999999997E-2</v>
      </c>
      <c r="D119" s="2943">
        <v>5.1999999999999998E-2</v>
      </c>
      <c r="E119" s="2954"/>
      <c r="F119" s="2959"/>
      <c r="G119" s="2944">
        <v>0.06</v>
      </c>
    </row>
    <row r="120" spans="1:7">
      <c r="A120" s="2953" t="s">
        <v>303</v>
      </c>
      <c r="B120" s="2942" t="s">
        <v>2989</v>
      </c>
      <c r="C120" s="2954"/>
      <c r="D120" s="2954"/>
      <c r="E120" s="2954"/>
      <c r="F120" s="2943">
        <v>0.1</v>
      </c>
      <c r="G120" s="2960"/>
    </row>
    <row r="121" spans="1:7">
      <c r="A121" s="2953" t="s">
        <v>303</v>
      </c>
      <c r="B121" s="2942" t="s">
        <v>2994</v>
      </c>
      <c r="C121" s="2954"/>
      <c r="D121" s="2954"/>
      <c r="E121" s="2954"/>
      <c r="F121" s="2943">
        <v>0.1</v>
      </c>
      <c r="G121" s="2960"/>
    </row>
    <row r="122" spans="1:7">
      <c r="A122" s="2953" t="s">
        <v>303</v>
      </c>
      <c r="B122" s="2942" t="s">
        <v>2999</v>
      </c>
      <c r="C122" s="2943">
        <v>0.1</v>
      </c>
      <c r="D122" s="2943">
        <v>0.1</v>
      </c>
      <c r="E122" s="2943">
        <v>9.8000000000000004E-2</v>
      </c>
      <c r="F122" s="2943">
        <v>0.1</v>
      </c>
      <c r="G122" s="2944">
        <v>0.1</v>
      </c>
    </row>
    <row r="123" spans="1:7">
      <c r="A123" s="2953" t="s">
        <v>303</v>
      </c>
      <c r="B123" s="2942" t="s">
        <v>3004</v>
      </c>
      <c r="C123" s="2943">
        <v>0.1</v>
      </c>
      <c r="D123" s="2943">
        <v>0.1</v>
      </c>
      <c r="E123" s="2943">
        <v>9.8000000000000004E-2</v>
      </c>
      <c r="F123" s="2943">
        <v>0.1</v>
      </c>
      <c r="G123" s="2944">
        <v>0.1</v>
      </c>
    </row>
    <row r="124" spans="1:7">
      <c r="A124" s="2953" t="s">
        <v>303</v>
      </c>
      <c r="B124" s="2942" t="s">
        <v>3009</v>
      </c>
      <c r="C124" s="2943">
        <v>0.1</v>
      </c>
      <c r="D124" s="2943">
        <v>0.1</v>
      </c>
      <c r="E124" s="2943">
        <v>9.8000000000000004E-2</v>
      </c>
      <c r="F124" s="2959"/>
      <c r="G124" s="2944">
        <v>0.1</v>
      </c>
    </row>
    <row r="125" spans="1:7">
      <c r="A125" s="2953" t="s">
        <v>303</v>
      </c>
      <c r="B125" s="2942" t="s">
        <v>3014</v>
      </c>
      <c r="C125" s="2943">
        <v>9.8000000000000004E-2</v>
      </c>
      <c r="D125" s="2943">
        <v>9.8000000000000004E-2</v>
      </c>
      <c r="E125" s="2943">
        <v>9.6000000000000002E-2</v>
      </c>
      <c r="F125" s="2959"/>
      <c r="G125" s="2944">
        <v>0.1</v>
      </c>
    </row>
    <row r="126" spans="1:7" ht="14.25" thickBot="1">
      <c r="A126" s="2956" t="s">
        <v>303</v>
      </c>
      <c r="B126" s="2946" t="s">
        <v>3180</v>
      </c>
      <c r="C126" s="2947">
        <v>0.1</v>
      </c>
      <c r="D126" s="2947">
        <v>0.1</v>
      </c>
      <c r="E126" s="2947">
        <v>9.8000000000000004E-2</v>
      </c>
      <c r="F126" s="2947">
        <v>0.1</v>
      </c>
      <c r="G126" s="2949">
        <v>0.1</v>
      </c>
    </row>
    <row r="127" spans="1:7">
      <c r="A127" s="2952" t="s">
        <v>29</v>
      </c>
      <c r="B127" s="2938" t="s">
        <v>2857</v>
      </c>
      <c r="C127" s="2939">
        <v>0.121</v>
      </c>
      <c r="D127" s="2939">
        <v>0.121</v>
      </c>
      <c r="E127" s="2939">
        <v>0.107</v>
      </c>
      <c r="F127" s="2939">
        <v>0.13</v>
      </c>
      <c r="G127" s="2940">
        <v>0.122</v>
      </c>
    </row>
    <row r="128" spans="1:7">
      <c r="A128" s="2953" t="s">
        <v>29</v>
      </c>
      <c r="B128" s="2942" t="s">
        <v>132</v>
      </c>
      <c r="C128" s="2943">
        <v>0.11600000000000001</v>
      </c>
      <c r="D128" s="2943">
        <v>0.11700000000000001</v>
      </c>
      <c r="E128" s="2943">
        <v>0.104</v>
      </c>
      <c r="F128" s="2943">
        <v>0.13</v>
      </c>
      <c r="G128" s="2944">
        <v>0.11700000000000001</v>
      </c>
    </row>
    <row r="129" spans="1:7">
      <c r="A129" s="2953" t="s">
        <v>29</v>
      </c>
      <c r="B129" s="2942" t="s">
        <v>141</v>
      </c>
      <c r="C129" s="2943">
        <v>0.107</v>
      </c>
      <c r="D129" s="2943">
        <v>0.108</v>
      </c>
      <c r="E129" s="2943">
        <v>0.1</v>
      </c>
      <c r="F129" s="2943">
        <v>0.13</v>
      </c>
      <c r="G129" s="2944">
        <v>0.11700000000000001</v>
      </c>
    </row>
    <row r="130" spans="1:7">
      <c r="A130" s="2953" t="s">
        <v>29</v>
      </c>
      <c r="B130" s="2942" t="s">
        <v>150</v>
      </c>
      <c r="C130" s="2943">
        <v>0.13</v>
      </c>
      <c r="D130" s="2943">
        <v>0.13</v>
      </c>
      <c r="E130" s="2943">
        <v>0.126</v>
      </c>
      <c r="F130" s="2943">
        <v>0.13</v>
      </c>
      <c r="G130" s="2944">
        <v>0.13</v>
      </c>
    </row>
    <row r="131" spans="1:7">
      <c r="A131" s="2953" t="s">
        <v>29</v>
      </c>
      <c r="B131" s="2942" t="s">
        <v>159</v>
      </c>
      <c r="C131" s="2943">
        <v>0.13</v>
      </c>
      <c r="D131" s="2943">
        <v>0.13</v>
      </c>
      <c r="E131" s="2943">
        <v>0.13</v>
      </c>
      <c r="F131" s="2943">
        <v>0.13</v>
      </c>
      <c r="G131" s="2944">
        <v>0.13</v>
      </c>
    </row>
    <row r="132" spans="1:7">
      <c r="A132" s="2953" t="s">
        <v>29</v>
      </c>
      <c r="B132" s="2942" t="s">
        <v>166</v>
      </c>
      <c r="C132" s="2943">
        <v>0.13</v>
      </c>
      <c r="D132" s="2943">
        <v>0.13</v>
      </c>
      <c r="E132" s="2943">
        <v>0.126</v>
      </c>
      <c r="F132" s="2943">
        <v>0.13</v>
      </c>
      <c r="G132" s="2944">
        <v>0.13</v>
      </c>
    </row>
    <row r="133" spans="1:7">
      <c r="A133" s="2953" t="s">
        <v>29</v>
      </c>
      <c r="B133" s="2942" t="s">
        <v>172</v>
      </c>
      <c r="C133" s="2943">
        <v>0.111</v>
      </c>
      <c r="D133" s="2943">
        <v>0.111</v>
      </c>
      <c r="E133" s="2943">
        <v>0.10199999999999999</v>
      </c>
      <c r="F133" s="2943">
        <v>0.13</v>
      </c>
      <c r="G133" s="2944">
        <v>0.121</v>
      </c>
    </row>
    <row r="134" spans="1:7">
      <c r="A134" s="2953" t="s">
        <v>29</v>
      </c>
      <c r="B134" s="2942" t="s">
        <v>179</v>
      </c>
      <c r="C134" s="2943">
        <v>0.121</v>
      </c>
      <c r="D134" s="2943">
        <v>0.121</v>
      </c>
      <c r="E134" s="2943">
        <v>0.1</v>
      </c>
      <c r="F134" s="2943">
        <v>0.13</v>
      </c>
      <c r="G134" s="2944">
        <v>0.123</v>
      </c>
    </row>
    <row r="135" spans="1:7">
      <c r="A135" s="2953" t="s">
        <v>29</v>
      </c>
      <c r="B135" s="2942" t="s">
        <v>189</v>
      </c>
      <c r="C135" s="2943">
        <v>0.105</v>
      </c>
      <c r="D135" s="2943">
        <v>0.106</v>
      </c>
      <c r="E135" s="2943">
        <v>0.1</v>
      </c>
      <c r="F135" s="2943">
        <v>0.13</v>
      </c>
      <c r="G135" s="2944">
        <v>0.115</v>
      </c>
    </row>
    <row r="136" spans="1:7">
      <c r="A136" s="2953" t="s">
        <v>29</v>
      </c>
      <c r="B136" s="2942" t="s">
        <v>198</v>
      </c>
      <c r="C136" s="2943">
        <v>0.127</v>
      </c>
      <c r="D136" s="2943">
        <v>0.127</v>
      </c>
      <c r="E136" s="2943">
        <v>0.121</v>
      </c>
      <c r="F136" s="2943">
        <v>0.123</v>
      </c>
      <c r="G136" s="2944">
        <v>0.129</v>
      </c>
    </row>
    <row r="137" spans="1:7">
      <c r="A137" s="2953" t="s">
        <v>29</v>
      </c>
      <c r="B137" s="2942" t="s">
        <v>205</v>
      </c>
      <c r="C137" s="2943">
        <v>0.13</v>
      </c>
      <c r="D137" s="2943">
        <v>0.13</v>
      </c>
      <c r="E137" s="2943">
        <v>0.129</v>
      </c>
      <c r="F137" s="2943">
        <v>0.13</v>
      </c>
      <c r="G137" s="2944">
        <v>0.13</v>
      </c>
    </row>
    <row r="138" spans="1:7">
      <c r="A138" s="2953" t="s">
        <v>29</v>
      </c>
      <c r="B138" s="2942" t="s">
        <v>212</v>
      </c>
      <c r="C138" s="2943">
        <v>0.13</v>
      </c>
      <c r="D138" s="2943">
        <v>0.13</v>
      </c>
      <c r="E138" s="2943">
        <v>0.125</v>
      </c>
      <c r="F138" s="2943">
        <v>0.13</v>
      </c>
      <c r="G138" s="2944">
        <v>0.13</v>
      </c>
    </row>
    <row r="139" spans="1:7">
      <c r="A139" s="2953" t="s">
        <v>29</v>
      </c>
      <c r="B139" s="2942" t="s">
        <v>218</v>
      </c>
      <c r="C139" s="2943">
        <v>0.13</v>
      </c>
      <c r="D139" s="2943">
        <v>0.13</v>
      </c>
      <c r="E139" s="2943">
        <v>0.126</v>
      </c>
      <c r="F139" s="2943">
        <v>0.13</v>
      </c>
      <c r="G139" s="2944">
        <v>0.13</v>
      </c>
    </row>
    <row r="140" spans="1:7">
      <c r="A140" s="2953" t="s">
        <v>29</v>
      </c>
      <c r="B140" s="2942" t="s">
        <v>226</v>
      </c>
      <c r="C140" s="2943">
        <v>0.1</v>
      </c>
      <c r="D140" s="2943">
        <v>0.1</v>
      </c>
      <c r="E140" s="2943">
        <v>0.1</v>
      </c>
      <c r="F140" s="2943">
        <v>0.123</v>
      </c>
      <c r="G140" s="2944">
        <v>0.107</v>
      </c>
    </row>
    <row r="141" spans="1:7">
      <c r="A141" s="2953" t="s">
        <v>29</v>
      </c>
      <c r="B141" s="2942" t="s">
        <v>234</v>
      </c>
      <c r="C141" s="2943">
        <v>0.127</v>
      </c>
      <c r="D141" s="2943">
        <v>0.127</v>
      </c>
      <c r="E141" s="2943">
        <v>0.122</v>
      </c>
      <c r="F141" s="2943">
        <v>0.1</v>
      </c>
      <c r="G141" s="2944">
        <v>0.129</v>
      </c>
    </row>
    <row r="142" spans="1:7">
      <c r="A142" s="2953" t="s">
        <v>29</v>
      </c>
      <c r="B142" s="2942" t="s">
        <v>239</v>
      </c>
      <c r="C142" s="2943">
        <v>0.121</v>
      </c>
      <c r="D142" s="2943">
        <v>0.122</v>
      </c>
      <c r="E142" s="2943">
        <v>0.1</v>
      </c>
      <c r="F142" s="2943">
        <v>0.123</v>
      </c>
      <c r="G142" s="2944">
        <v>0.123</v>
      </c>
    </row>
    <row r="143" spans="1:7">
      <c r="A143" s="2953" t="s">
        <v>29</v>
      </c>
      <c r="B143" s="2942" t="s">
        <v>248</v>
      </c>
      <c r="C143" s="2943">
        <v>0.1</v>
      </c>
      <c r="D143" s="2943">
        <v>0.1</v>
      </c>
      <c r="E143" s="2943">
        <v>0.1</v>
      </c>
      <c r="F143" s="2943">
        <v>0.13</v>
      </c>
      <c r="G143" s="2944">
        <v>0.1</v>
      </c>
    </row>
    <row r="144" spans="1:7">
      <c r="A144" s="2953" t="s">
        <v>29</v>
      </c>
      <c r="B144" s="2942" t="s">
        <v>255</v>
      </c>
      <c r="C144" s="2943">
        <v>0.106</v>
      </c>
      <c r="D144" s="2943">
        <v>0.105</v>
      </c>
      <c r="E144" s="2943">
        <v>0.1</v>
      </c>
      <c r="F144" s="2943">
        <v>0.13</v>
      </c>
      <c r="G144" s="2944">
        <v>0.11799999999999999</v>
      </c>
    </row>
    <row r="145" spans="1:7">
      <c r="A145" s="2953" t="s">
        <v>29</v>
      </c>
      <c r="B145" s="2942" t="s">
        <v>263</v>
      </c>
      <c r="C145" s="2943">
        <v>0.123</v>
      </c>
      <c r="D145" s="2943">
        <v>0.123</v>
      </c>
      <c r="E145" s="2943">
        <v>0.11700000000000001</v>
      </c>
      <c r="F145" s="2943">
        <v>0.13</v>
      </c>
      <c r="G145" s="2944">
        <v>0.126</v>
      </c>
    </row>
    <row r="146" spans="1:7">
      <c r="A146" s="2953" t="s">
        <v>29</v>
      </c>
      <c r="B146" s="2942" t="s">
        <v>270</v>
      </c>
      <c r="C146" s="2943">
        <v>0.127</v>
      </c>
      <c r="D146" s="2943">
        <v>0.127</v>
      </c>
      <c r="E146" s="2943">
        <v>0.12</v>
      </c>
      <c r="F146" s="2954"/>
      <c r="G146" s="2944">
        <v>0.129</v>
      </c>
    </row>
    <row r="147" spans="1:7">
      <c r="A147" s="2953" t="s">
        <v>29</v>
      </c>
      <c r="B147" s="2942" t="s">
        <v>274</v>
      </c>
      <c r="C147" s="2943">
        <v>0.13</v>
      </c>
      <c r="D147" s="2943">
        <v>0.13</v>
      </c>
      <c r="E147" s="2943">
        <v>0.126</v>
      </c>
      <c r="F147" s="2954"/>
      <c r="G147" s="2944">
        <v>0.13</v>
      </c>
    </row>
    <row r="148" spans="1:7">
      <c r="A148" s="2953" t="s">
        <v>29</v>
      </c>
      <c r="B148" s="2942" t="s">
        <v>2927</v>
      </c>
      <c r="C148" s="2943">
        <v>0.13</v>
      </c>
      <c r="D148" s="2943">
        <v>0.13</v>
      </c>
      <c r="E148" s="2943">
        <v>0.13</v>
      </c>
      <c r="F148" s="2954"/>
      <c r="G148" s="2944">
        <v>0.13</v>
      </c>
    </row>
    <row r="149" spans="1:7">
      <c r="A149" s="2953" t="s">
        <v>29</v>
      </c>
      <c r="B149" s="2942" t="s">
        <v>2931</v>
      </c>
      <c r="C149" s="2943">
        <v>0.13</v>
      </c>
      <c r="D149" s="2943">
        <v>0.13</v>
      </c>
      <c r="E149" s="2943">
        <v>0.13</v>
      </c>
      <c r="F149" s="2943">
        <v>0.13</v>
      </c>
      <c r="G149" s="2944">
        <v>0.13</v>
      </c>
    </row>
    <row r="150" spans="1:7">
      <c r="A150" s="2953" t="s">
        <v>29</v>
      </c>
      <c r="B150" s="2942" t="s">
        <v>292</v>
      </c>
      <c r="C150" s="2943">
        <v>0.13</v>
      </c>
      <c r="D150" s="2943">
        <v>0.13</v>
      </c>
      <c r="E150" s="2943">
        <v>0.127</v>
      </c>
      <c r="F150" s="2943">
        <v>0.13</v>
      </c>
      <c r="G150" s="2944">
        <v>0.13</v>
      </c>
    </row>
    <row r="151" spans="1:7">
      <c r="A151" s="2953" t="s">
        <v>29</v>
      </c>
      <c r="B151" s="2942" t="s">
        <v>294</v>
      </c>
      <c r="C151" s="2943">
        <v>0.13</v>
      </c>
      <c r="D151" s="2943">
        <v>0.13</v>
      </c>
      <c r="E151" s="2943">
        <v>0.13</v>
      </c>
      <c r="F151" s="2943">
        <v>0.13</v>
      </c>
      <c r="G151" s="2944">
        <v>0.13</v>
      </c>
    </row>
    <row r="152" spans="1:7">
      <c r="A152" s="2953" t="s">
        <v>29</v>
      </c>
      <c r="B152" s="2942" t="s">
        <v>297</v>
      </c>
      <c r="C152" s="2943">
        <v>0.13</v>
      </c>
      <c r="D152" s="2943">
        <v>0.13</v>
      </c>
      <c r="E152" s="2943">
        <v>0.13</v>
      </c>
      <c r="F152" s="2943">
        <v>0.13</v>
      </c>
      <c r="G152" s="2944">
        <v>0.13</v>
      </c>
    </row>
    <row r="153" spans="1:7">
      <c r="A153" s="2953" t="s">
        <v>29</v>
      </c>
      <c r="B153" s="2942" t="s">
        <v>2950</v>
      </c>
      <c r="C153" s="2943">
        <v>0.13</v>
      </c>
      <c r="D153" s="2943">
        <v>0.13</v>
      </c>
      <c r="E153" s="2943">
        <v>0.13</v>
      </c>
      <c r="F153" s="2943">
        <v>0.13</v>
      </c>
      <c r="G153" s="2944">
        <v>0.13</v>
      </c>
    </row>
    <row r="154" spans="1:7">
      <c r="A154" s="2953" t="s">
        <v>29</v>
      </c>
      <c r="B154" s="2942" t="s">
        <v>2957</v>
      </c>
      <c r="C154" s="2943">
        <v>0.121</v>
      </c>
      <c r="D154" s="2943">
        <v>0.121</v>
      </c>
      <c r="E154" s="2943">
        <v>0.105</v>
      </c>
      <c r="F154" s="2943">
        <v>0.121</v>
      </c>
      <c r="G154" s="2944">
        <v>0.123</v>
      </c>
    </row>
    <row r="155" spans="1:7">
      <c r="A155" s="2953" t="s">
        <v>29</v>
      </c>
      <c r="B155" s="2942" t="s">
        <v>2963</v>
      </c>
      <c r="C155" s="2943">
        <v>0.1</v>
      </c>
      <c r="D155" s="2943">
        <v>0.1</v>
      </c>
      <c r="E155" s="2943">
        <v>0.1</v>
      </c>
      <c r="F155" s="2943">
        <v>0.1</v>
      </c>
      <c r="G155" s="2944">
        <v>0.1</v>
      </c>
    </row>
    <row r="156" spans="1:7">
      <c r="A156" s="2953" t="s">
        <v>29</v>
      </c>
      <c r="B156" s="2942" t="s">
        <v>2970</v>
      </c>
      <c r="C156" s="2943">
        <v>0.13</v>
      </c>
      <c r="D156" s="2943">
        <v>0.13</v>
      </c>
      <c r="E156" s="2943">
        <v>0.13</v>
      </c>
      <c r="F156" s="2943">
        <v>0.13</v>
      </c>
      <c r="G156" s="2944">
        <v>0.13</v>
      </c>
    </row>
    <row r="157" spans="1:7">
      <c r="A157" s="2953" t="s">
        <v>29</v>
      </c>
      <c r="B157" s="2942" t="s">
        <v>300</v>
      </c>
      <c r="C157" s="2943">
        <v>0.13</v>
      </c>
      <c r="D157" s="2943">
        <v>0.13</v>
      </c>
      <c r="E157" s="2943">
        <v>0.125</v>
      </c>
      <c r="F157" s="2943">
        <v>0.13</v>
      </c>
      <c r="G157" s="2944">
        <v>0.13</v>
      </c>
    </row>
    <row r="158" spans="1:7">
      <c r="A158" s="2953" t="s">
        <v>29</v>
      </c>
      <c r="B158" s="2942" t="s">
        <v>301</v>
      </c>
      <c r="C158" s="2943">
        <v>0.124</v>
      </c>
      <c r="D158" s="2943">
        <v>0.124</v>
      </c>
      <c r="E158" s="2943">
        <v>0.11700000000000001</v>
      </c>
      <c r="F158" s="2943">
        <v>0.121</v>
      </c>
      <c r="G158" s="2944">
        <v>0.124</v>
      </c>
    </row>
    <row r="159" spans="1:7">
      <c r="A159" s="2953" t="s">
        <v>29</v>
      </c>
      <c r="B159" s="2942" t="s">
        <v>302</v>
      </c>
      <c r="C159" s="2943">
        <v>0.127</v>
      </c>
      <c r="D159" s="2943">
        <v>0.127</v>
      </c>
      <c r="E159" s="2943">
        <v>0.122</v>
      </c>
      <c r="F159" s="2943">
        <v>0.13</v>
      </c>
      <c r="G159" s="2944">
        <v>0.129</v>
      </c>
    </row>
    <row r="160" spans="1:7">
      <c r="A160" s="2953" t="s">
        <v>29</v>
      </c>
      <c r="B160" s="2942" t="s">
        <v>2990</v>
      </c>
      <c r="C160" s="2943">
        <v>0.13</v>
      </c>
      <c r="D160" s="2943">
        <v>0.13</v>
      </c>
      <c r="E160" s="2943">
        <v>0.124</v>
      </c>
      <c r="F160" s="2943">
        <v>0.126</v>
      </c>
      <c r="G160" s="2944">
        <v>0.13</v>
      </c>
    </row>
    <row r="161" spans="1:7">
      <c r="A161" s="2953" t="s">
        <v>29</v>
      </c>
      <c r="B161" s="2942" t="s">
        <v>2995</v>
      </c>
      <c r="C161" s="2943">
        <v>0.13</v>
      </c>
      <c r="D161" s="2943">
        <v>0.13</v>
      </c>
      <c r="E161" s="2943">
        <v>0.124</v>
      </c>
      <c r="F161" s="2943">
        <v>0.127</v>
      </c>
      <c r="G161" s="2944">
        <v>0.13</v>
      </c>
    </row>
    <row r="162" spans="1:7">
      <c r="A162" s="2953" t="s">
        <v>29</v>
      </c>
      <c r="B162" s="2942" t="s">
        <v>3000</v>
      </c>
      <c r="C162" s="2943">
        <v>0.1</v>
      </c>
      <c r="D162" s="2943">
        <v>0.1</v>
      </c>
      <c r="E162" s="2943">
        <v>0.1</v>
      </c>
      <c r="F162" s="2943">
        <v>0.121</v>
      </c>
      <c r="G162" s="2944">
        <v>0.105</v>
      </c>
    </row>
    <row r="163" spans="1:7">
      <c r="A163" s="2953" t="s">
        <v>29</v>
      </c>
      <c r="B163" s="2942" t="s">
        <v>3005</v>
      </c>
      <c r="C163" s="2943">
        <v>0.1</v>
      </c>
      <c r="D163" s="2943">
        <v>0.1</v>
      </c>
      <c r="E163" s="2943">
        <v>0.1</v>
      </c>
      <c r="F163" s="2943">
        <v>0.1</v>
      </c>
      <c r="G163" s="2944">
        <v>0.1</v>
      </c>
    </row>
    <row r="164" spans="1:7">
      <c r="A164" s="2953" t="s">
        <v>29</v>
      </c>
      <c r="B164" s="2942" t="s">
        <v>3010</v>
      </c>
      <c r="C164" s="2959"/>
      <c r="D164" s="2959"/>
      <c r="E164" s="2959"/>
      <c r="F164" s="2943">
        <v>0.1</v>
      </c>
      <c r="G164" s="2955"/>
    </row>
    <row r="165" spans="1:7">
      <c r="A165" s="2953" t="s">
        <v>29</v>
      </c>
      <c r="B165" s="2942" t="s">
        <v>3181</v>
      </c>
      <c r="C165" s="2943">
        <v>0.126</v>
      </c>
      <c r="D165" s="2943">
        <v>0.126</v>
      </c>
      <c r="E165" s="2943">
        <v>0.11899999999999999</v>
      </c>
      <c r="F165" s="2943">
        <v>0.13</v>
      </c>
      <c r="G165" s="2944">
        <v>0.128</v>
      </c>
    </row>
    <row r="166" spans="1:7">
      <c r="A166" s="2953" t="s">
        <v>29</v>
      </c>
      <c r="B166" s="2942" t="s">
        <v>3020</v>
      </c>
      <c r="C166" s="2943">
        <v>0.129</v>
      </c>
      <c r="D166" s="2943">
        <v>0.129</v>
      </c>
      <c r="E166" s="2943">
        <v>0.123</v>
      </c>
      <c r="F166" s="2943">
        <v>0.128</v>
      </c>
      <c r="G166" s="2944">
        <v>0.13</v>
      </c>
    </row>
    <row r="167" spans="1:7">
      <c r="A167" s="2953" t="s">
        <v>29</v>
      </c>
      <c r="B167" s="2942" t="s">
        <v>3024</v>
      </c>
      <c r="C167" s="2943">
        <v>0.125</v>
      </c>
      <c r="D167" s="2943">
        <v>0.125</v>
      </c>
      <c r="E167" s="2943">
        <v>0.11700000000000001</v>
      </c>
      <c r="F167" s="2943">
        <v>0.13</v>
      </c>
      <c r="G167" s="2944">
        <v>0.126</v>
      </c>
    </row>
    <row r="168" spans="1:7">
      <c r="A168" s="2953" t="s">
        <v>29</v>
      </c>
      <c r="B168" s="2942" t="s">
        <v>3029</v>
      </c>
      <c r="C168" s="2943">
        <v>0.128</v>
      </c>
      <c r="D168" s="2943">
        <v>0.128</v>
      </c>
      <c r="E168" s="2943">
        <v>0.123</v>
      </c>
      <c r="F168" s="2954"/>
      <c r="G168" s="2944">
        <v>0.13</v>
      </c>
    </row>
    <row r="169" spans="1:7">
      <c r="A169" s="2953" t="s">
        <v>29</v>
      </c>
      <c r="B169" s="2942" t="s">
        <v>3182</v>
      </c>
      <c r="C169" s="2959"/>
      <c r="D169" s="2959"/>
      <c r="E169" s="2959"/>
      <c r="F169" s="2943">
        <v>0.05</v>
      </c>
      <c r="G169" s="2955"/>
    </row>
    <row r="170" spans="1:7">
      <c r="A170" s="2953" t="s">
        <v>29</v>
      </c>
      <c r="B170" s="2942" t="s">
        <v>3183</v>
      </c>
      <c r="C170" s="2959"/>
      <c r="D170" s="2959"/>
      <c r="E170" s="2959"/>
      <c r="F170" s="2943">
        <v>0.05</v>
      </c>
      <c r="G170" s="2955"/>
    </row>
    <row r="171" spans="1:7">
      <c r="A171" s="2953" t="s">
        <v>29</v>
      </c>
      <c r="B171" s="2942" t="s">
        <v>3184</v>
      </c>
      <c r="C171" s="2959"/>
      <c r="D171" s="2959"/>
      <c r="E171" s="2959"/>
      <c r="F171" s="2943">
        <v>0.05</v>
      </c>
      <c r="G171" s="2960"/>
    </row>
    <row r="172" spans="1:7">
      <c r="A172" s="2953" t="s">
        <v>29</v>
      </c>
      <c r="B172" s="2942" t="s">
        <v>3185</v>
      </c>
      <c r="C172" s="2959"/>
      <c r="D172" s="2959"/>
      <c r="E172" s="2959"/>
      <c r="F172" s="2943">
        <v>0.05</v>
      </c>
      <c r="G172" s="2960"/>
    </row>
    <row r="173" spans="1:7">
      <c r="A173" s="2953" t="s">
        <v>29</v>
      </c>
      <c r="B173" s="2942" t="s">
        <v>3186</v>
      </c>
      <c r="C173" s="2959"/>
      <c r="D173" s="2959"/>
      <c r="E173" s="2959"/>
      <c r="F173" s="2943">
        <v>0.05</v>
      </c>
      <c r="G173" s="2955"/>
    </row>
    <row r="174" spans="1:7">
      <c r="A174" s="2953" t="s">
        <v>29</v>
      </c>
      <c r="B174" s="2942" t="s">
        <v>3187</v>
      </c>
      <c r="C174" s="2959"/>
      <c r="D174" s="2959"/>
      <c r="E174" s="2959"/>
      <c r="F174" s="2943">
        <v>0.05</v>
      </c>
      <c r="G174" s="2955"/>
    </row>
    <row r="175" spans="1:7">
      <c r="A175" s="2953" t="s">
        <v>29</v>
      </c>
      <c r="B175" s="2942" t="s">
        <v>3188</v>
      </c>
      <c r="C175" s="2959"/>
      <c r="D175" s="2959"/>
      <c r="E175" s="2959"/>
      <c r="F175" s="2943">
        <v>0.05</v>
      </c>
      <c r="G175" s="2955"/>
    </row>
    <row r="176" spans="1:7">
      <c r="A176" s="2953" t="s">
        <v>29</v>
      </c>
      <c r="B176" s="2942" t="s">
        <v>3189</v>
      </c>
      <c r="C176" s="2959"/>
      <c r="D176" s="2959"/>
      <c r="E176" s="2959"/>
      <c r="F176" s="2943">
        <v>0.05</v>
      </c>
      <c r="G176" s="2955"/>
    </row>
    <row r="177" spans="1:7">
      <c r="A177" s="2953" t="s">
        <v>29</v>
      </c>
      <c r="B177" s="2942" t="s">
        <v>3190</v>
      </c>
      <c r="C177" s="2954"/>
      <c r="D177" s="2954"/>
      <c r="E177" s="2954"/>
      <c r="F177" s="2943">
        <v>0.05</v>
      </c>
      <c r="G177" s="2960"/>
    </row>
    <row r="178" spans="1:7">
      <c r="A178" s="2953" t="s">
        <v>29</v>
      </c>
      <c r="B178" s="2942" t="s">
        <v>3191</v>
      </c>
      <c r="C178" s="2954"/>
      <c r="D178" s="2954"/>
      <c r="E178" s="2954"/>
      <c r="F178" s="2943">
        <v>0.05</v>
      </c>
      <c r="G178" s="2960"/>
    </row>
    <row r="179" spans="1:7">
      <c r="A179" s="2953" t="s">
        <v>29</v>
      </c>
      <c r="B179" s="2942" t="s">
        <v>3192</v>
      </c>
      <c r="C179" s="2954"/>
      <c r="D179" s="2954"/>
      <c r="E179" s="2954"/>
      <c r="F179" s="2943">
        <v>0.05</v>
      </c>
      <c r="G179" s="2960"/>
    </row>
    <row r="180" spans="1:7">
      <c r="A180" s="2953" t="s">
        <v>29</v>
      </c>
      <c r="B180" s="2942" t="s">
        <v>3193</v>
      </c>
      <c r="C180" s="2954"/>
      <c r="D180" s="2954"/>
      <c r="E180" s="2954"/>
      <c r="F180" s="2943">
        <v>0.05</v>
      </c>
      <c r="G180" s="2960"/>
    </row>
    <row r="181" spans="1:7">
      <c r="A181" s="2953" t="s">
        <v>29</v>
      </c>
      <c r="B181" s="2942" t="s">
        <v>3194</v>
      </c>
      <c r="C181" s="2954"/>
      <c r="D181" s="2954"/>
      <c r="E181" s="2954"/>
      <c r="F181" s="2943">
        <v>0.05</v>
      </c>
      <c r="G181" s="2960"/>
    </row>
    <row r="182" spans="1:7">
      <c r="A182" s="2953" t="s">
        <v>29</v>
      </c>
      <c r="B182" s="2942" t="s">
        <v>3195</v>
      </c>
      <c r="C182" s="2954"/>
      <c r="D182" s="2954"/>
      <c r="E182" s="2954"/>
      <c r="F182" s="2943">
        <v>0.05</v>
      </c>
      <c r="G182" s="2960"/>
    </row>
    <row r="183" spans="1:7">
      <c r="A183" s="2953" t="s">
        <v>29</v>
      </c>
      <c r="B183" s="2942" t="s">
        <v>3196</v>
      </c>
      <c r="C183" s="2954"/>
      <c r="D183" s="2954"/>
      <c r="E183" s="2954"/>
      <c r="F183" s="2943">
        <v>0.05</v>
      </c>
      <c r="G183" s="2960"/>
    </row>
    <row r="184" spans="1:7">
      <c r="A184" s="2953" t="s">
        <v>29</v>
      </c>
      <c r="B184" s="2942" t="s">
        <v>3197</v>
      </c>
      <c r="C184" s="2954"/>
      <c r="D184" s="2954"/>
      <c r="E184" s="2954"/>
      <c r="F184" s="2943">
        <v>0.05</v>
      </c>
      <c r="G184" s="2960"/>
    </row>
    <row r="185" spans="1:7">
      <c r="A185" s="2953" t="s">
        <v>29</v>
      </c>
      <c r="B185" s="2942" t="s">
        <v>3198</v>
      </c>
      <c r="C185" s="2954"/>
      <c r="D185" s="2954"/>
      <c r="E185" s="2954"/>
      <c r="F185" s="2943">
        <v>0.05</v>
      </c>
      <c r="G185" s="2960"/>
    </row>
    <row r="186" spans="1:7">
      <c r="A186" s="2953" t="s">
        <v>29</v>
      </c>
      <c r="B186" s="2942" t="s">
        <v>3199</v>
      </c>
      <c r="C186" s="2954"/>
      <c r="D186" s="2954"/>
      <c r="E186" s="2954"/>
      <c r="F186" s="2943">
        <v>0.05</v>
      </c>
      <c r="G186" s="2960"/>
    </row>
    <row r="187" spans="1:7">
      <c r="A187" s="2953" t="s">
        <v>29</v>
      </c>
      <c r="B187" s="2942" t="s">
        <v>3200</v>
      </c>
      <c r="C187" s="2954"/>
      <c r="D187" s="2954"/>
      <c r="E187" s="2954"/>
      <c r="F187" s="2943">
        <v>0.05</v>
      </c>
      <c r="G187" s="2960"/>
    </row>
    <row r="188" spans="1:7">
      <c r="A188" s="2953" t="s">
        <v>29</v>
      </c>
      <c r="B188" s="2942" t="s">
        <v>3201</v>
      </c>
      <c r="C188" s="2954"/>
      <c r="D188" s="2954"/>
      <c r="E188" s="2954"/>
      <c r="F188" s="2943">
        <v>0.05</v>
      </c>
      <c r="G188" s="2960"/>
    </row>
    <row r="189" spans="1:7" ht="14.25" thickBot="1">
      <c r="A189" s="2956" t="s">
        <v>29</v>
      </c>
      <c r="B189" s="2946" t="s">
        <v>3202</v>
      </c>
      <c r="C189" s="2948"/>
      <c r="D189" s="2948"/>
      <c r="E189" s="2948"/>
      <c r="F189" s="2947">
        <v>0.05</v>
      </c>
      <c r="G189" s="2961"/>
    </row>
    <row r="190" spans="1:7">
      <c r="A190" s="2952" t="s">
        <v>304</v>
      </c>
      <c r="B190" s="2938" t="s">
        <v>2858</v>
      </c>
      <c r="C190" s="2939">
        <v>0.124</v>
      </c>
      <c r="D190" s="2939">
        <v>0.124</v>
      </c>
      <c r="E190" s="2939">
        <v>0.129</v>
      </c>
      <c r="F190" s="2939">
        <v>0.13</v>
      </c>
      <c r="G190" s="2940">
        <v>0.127</v>
      </c>
    </row>
    <row r="191" spans="1:7">
      <c r="A191" s="2953" t="s">
        <v>304</v>
      </c>
      <c r="B191" s="2942" t="s">
        <v>133</v>
      </c>
      <c r="C191" s="2943">
        <v>0.13</v>
      </c>
      <c r="D191" s="2943">
        <v>0.13</v>
      </c>
      <c r="E191" s="2943">
        <v>0.13</v>
      </c>
      <c r="F191" s="2943">
        <v>0.13</v>
      </c>
      <c r="G191" s="2944">
        <v>0.13</v>
      </c>
    </row>
    <row r="192" spans="1:7">
      <c r="A192" s="2953" t="s">
        <v>304</v>
      </c>
      <c r="B192" s="2942" t="s">
        <v>142</v>
      </c>
      <c r="C192" s="2943">
        <v>0.13</v>
      </c>
      <c r="D192" s="2943">
        <v>0.13</v>
      </c>
      <c r="E192" s="2943">
        <v>0.13</v>
      </c>
      <c r="F192" s="2943">
        <v>0.13</v>
      </c>
      <c r="G192" s="2944">
        <v>0.13</v>
      </c>
    </row>
    <row r="193" spans="1:7">
      <c r="A193" s="2953" t="s">
        <v>304</v>
      </c>
      <c r="B193" s="2942" t="s">
        <v>151</v>
      </c>
      <c r="C193" s="2943">
        <v>0.13</v>
      </c>
      <c r="D193" s="2943">
        <v>0.13</v>
      </c>
      <c r="E193" s="2943">
        <v>0.13</v>
      </c>
      <c r="F193" s="2943">
        <v>0.13</v>
      </c>
      <c r="G193" s="2944">
        <v>0.13</v>
      </c>
    </row>
    <row r="194" spans="1:7">
      <c r="A194" s="2953" t="s">
        <v>304</v>
      </c>
      <c r="B194" s="2942" t="s">
        <v>160</v>
      </c>
      <c r="C194" s="2943">
        <v>0.123</v>
      </c>
      <c r="D194" s="2943">
        <v>0.123</v>
      </c>
      <c r="E194" s="2943">
        <v>0.128</v>
      </c>
      <c r="F194" s="2943">
        <v>0.13</v>
      </c>
      <c r="G194" s="2944">
        <v>0.126</v>
      </c>
    </row>
    <row r="195" spans="1:7">
      <c r="A195" s="2953" t="s">
        <v>304</v>
      </c>
      <c r="B195" s="2942" t="s">
        <v>167</v>
      </c>
      <c r="C195" s="2943">
        <v>0.127</v>
      </c>
      <c r="D195" s="2943">
        <v>0.127</v>
      </c>
      <c r="E195" s="2943">
        <v>0.121</v>
      </c>
      <c r="F195" s="2943">
        <v>0.129</v>
      </c>
      <c r="G195" s="2944">
        <v>0.129</v>
      </c>
    </row>
    <row r="196" spans="1:7">
      <c r="A196" s="2953" t="s">
        <v>304</v>
      </c>
      <c r="B196" s="2942" t="s">
        <v>173</v>
      </c>
      <c r="C196" s="2943">
        <v>0.127</v>
      </c>
      <c r="D196" s="2943">
        <v>0.128</v>
      </c>
      <c r="E196" s="2943">
        <v>0.122</v>
      </c>
      <c r="F196" s="2943">
        <v>0.13</v>
      </c>
      <c r="G196" s="2944">
        <v>0.129</v>
      </c>
    </row>
    <row r="197" spans="1:7">
      <c r="A197" s="2953" t="s">
        <v>304</v>
      </c>
      <c r="B197" s="2942" t="s">
        <v>180</v>
      </c>
      <c r="C197" s="2943">
        <v>0.126</v>
      </c>
      <c r="D197" s="2943">
        <v>0.126</v>
      </c>
      <c r="E197" s="2943">
        <v>0.11899999999999999</v>
      </c>
      <c r="F197" s="2943">
        <v>0.13</v>
      </c>
      <c r="G197" s="2944">
        <v>0.128</v>
      </c>
    </row>
    <row r="198" spans="1:7">
      <c r="A198" s="2953" t="s">
        <v>304</v>
      </c>
      <c r="B198" s="2942" t="s">
        <v>190</v>
      </c>
      <c r="C198" s="2943">
        <v>0.13</v>
      </c>
      <c r="D198" s="2943">
        <v>0.13</v>
      </c>
      <c r="E198" s="2943">
        <v>0.126</v>
      </c>
      <c r="F198" s="2959"/>
      <c r="G198" s="2944">
        <v>0.13</v>
      </c>
    </row>
    <row r="199" spans="1:7">
      <c r="A199" s="2953" t="s">
        <v>304</v>
      </c>
      <c r="B199" s="2942" t="s">
        <v>2894</v>
      </c>
      <c r="C199" s="2943">
        <v>0.13</v>
      </c>
      <c r="D199" s="2943">
        <v>0.13</v>
      </c>
      <c r="E199" s="2943">
        <v>0.13</v>
      </c>
      <c r="F199" s="2943">
        <v>0.13</v>
      </c>
      <c r="G199" s="2944">
        <v>0.13</v>
      </c>
    </row>
    <row r="200" spans="1:7">
      <c r="A200" s="2953" t="s">
        <v>304</v>
      </c>
      <c r="B200" s="2942" t="s">
        <v>2897</v>
      </c>
      <c r="C200" s="2959"/>
      <c r="D200" s="2959"/>
      <c r="E200" s="2959"/>
      <c r="F200" s="2943">
        <v>0.13</v>
      </c>
      <c r="G200" s="2955"/>
    </row>
    <row r="201" spans="1:7">
      <c r="A201" s="2953" t="s">
        <v>304</v>
      </c>
      <c r="B201" s="2942" t="s">
        <v>2902</v>
      </c>
      <c r="C201" s="2943">
        <v>0.13</v>
      </c>
      <c r="D201" s="2943">
        <v>0.13</v>
      </c>
      <c r="E201" s="2943">
        <v>0.13</v>
      </c>
      <c r="F201" s="2943">
        <v>0.129</v>
      </c>
      <c r="G201" s="2944">
        <v>0.13</v>
      </c>
    </row>
    <row r="202" spans="1:7">
      <c r="A202" s="2953" t="s">
        <v>304</v>
      </c>
      <c r="B202" s="2942" t="s">
        <v>240</v>
      </c>
      <c r="C202" s="2943">
        <v>0.13</v>
      </c>
      <c r="D202" s="2943">
        <v>0.13</v>
      </c>
      <c r="E202" s="2943">
        <v>0.13</v>
      </c>
      <c r="F202" s="2943">
        <v>0.13</v>
      </c>
      <c r="G202" s="2944">
        <v>0.13</v>
      </c>
    </row>
    <row r="203" spans="1:7">
      <c r="A203" s="2953" t="s">
        <v>304</v>
      </c>
      <c r="B203" s="2942" t="s">
        <v>2905</v>
      </c>
      <c r="C203" s="2943">
        <v>0.129</v>
      </c>
      <c r="D203" s="2943">
        <v>0.129</v>
      </c>
      <c r="E203" s="2943">
        <v>0.13</v>
      </c>
      <c r="F203" s="2943">
        <v>0.13</v>
      </c>
      <c r="G203" s="2944">
        <v>0.13</v>
      </c>
    </row>
    <row r="204" spans="1:7">
      <c r="A204" s="2953" t="s">
        <v>304</v>
      </c>
      <c r="B204" s="2942" t="s">
        <v>2908</v>
      </c>
      <c r="C204" s="2943">
        <v>0.129</v>
      </c>
      <c r="D204" s="2943">
        <v>0.129</v>
      </c>
      <c r="E204" s="2943">
        <v>0.123</v>
      </c>
      <c r="F204" s="2943">
        <v>0.13</v>
      </c>
      <c r="G204" s="2944">
        <v>0.13</v>
      </c>
    </row>
    <row r="205" spans="1:7">
      <c r="A205" s="2953" t="s">
        <v>304</v>
      </c>
      <c r="B205" s="2942" t="s">
        <v>2910</v>
      </c>
      <c r="C205" s="2943">
        <v>0.13</v>
      </c>
      <c r="D205" s="2943">
        <v>0.13</v>
      </c>
      <c r="E205" s="2943">
        <v>0.13</v>
      </c>
      <c r="F205" s="2943">
        <v>0.13</v>
      </c>
      <c r="G205" s="2944">
        <v>0.13</v>
      </c>
    </row>
    <row r="206" spans="1:7">
      <c r="A206" s="2953" t="s">
        <v>304</v>
      </c>
      <c r="B206" s="2942" t="s">
        <v>2913</v>
      </c>
      <c r="C206" s="2943">
        <v>0.13</v>
      </c>
      <c r="D206" s="2943">
        <v>0.13</v>
      </c>
      <c r="E206" s="2943">
        <v>0.13</v>
      </c>
      <c r="F206" s="2943">
        <v>0.128</v>
      </c>
      <c r="G206" s="2944">
        <v>0.13</v>
      </c>
    </row>
    <row r="207" spans="1:7">
      <c r="A207" s="2953" t="s">
        <v>304</v>
      </c>
      <c r="B207" s="2942" t="s">
        <v>2915</v>
      </c>
      <c r="C207" s="2943">
        <v>0.13</v>
      </c>
      <c r="D207" s="2943">
        <v>0.13</v>
      </c>
      <c r="E207" s="2943">
        <v>0.13</v>
      </c>
      <c r="F207" s="2943">
        <v>0.13</v>
      </c>
      <c r="G207" s="2944">
        <v>0.13</v>
      </c>
    </row>
    <row r="208" spans="1:7">
      <c r="A208" s="2953" t="s">
        <v>304</v>
      </c>
      <c r="B208" s="2942" t="s">
        <v>2918</v>
      </c>
      <c r="C208" s="2943">
        <v>0.13</v>
      </c>
      <c r="D208" s="2943">
        <v>0.13</v>
      </c>
      <c r="E208" s="2943">
        <v>0.13</v>
      </c>
      <c r="F208" s="2943">
        <v>0.13</v>
      </c>
      <c r="G208" s="2944">
        <v>0.13</v>
      </c>
    </row>
    <row r="209" spans="1:7">
      <c r="A209" s="2953" t="s">
        <v>304</v>
      </c>
      <c r="B209" s="2942" t="s">
        <v>264</v>
      </c>
      <c r="C209" s="2943">
        <v>0.13</v>
      </c>
      <c r="D209" s="2943">
        <v>0.13</v>
      </c>
      <c r="E209" s="2943">
        <v>0.13</v>
      </c>
      <c r="F209" s="2943">
        <v>0.13</v>
      </c>
      <c r="G209" s="2944">
        <v>0.13</v>
      </c>
    </row>
    <row r="210" spans="1:7">
      <c r="A210" s="2953" t="s">
        <v>304</v>
      </c>
      <c r="B210" s="2942" t="s">
        <v>2925</v>
      </c>
      <c r="C210" s="2943">
        <v>0.121</v>
      </c>
      <c r="D210" s="2943">
        <v>0.121</v>
      </c>
      <c r="E210" s="2943">
        <v>0.125</v>
      </c>
      <c r="F210" s="2943">
        <v>0.13</v>
      </c>
      <c r="G210" s="2944">
        <v>0.123</v>
      </c>
    </row>
    <row r="211" spans="1:7">
      <c r="A211" s="2953" t="s">
        <v>304</v>
      </c>
      <c r="B211" s="2942" t="s">
        <v>2928</v>
      </c>
      <c r="C211" s="2943">
        <v>0.123</v>
      </c>
      <c r="D211" s="2943">
        <v>0.123</v>
      </c>
      <c r="E211" s="2943">
        <v>0.127</v>
      </c>
      <c r="F211" s="2943">
        <v>0.115</v>
      </c>
      <c r="G211" s="2944">
        <v>0.126</v>
      </c>
    </row>
    <row r="212" spans="1:7">
      <c r="A212" s="2953" t="s">
        <v>304</v>
      </c>
      <c r="B212" s="2942" t="s">
        <v>285</v>
      </c>
      <c r="C212" s="2943">
        <v>0.126</v>
      </c>
      <c r="D212" s="2943">
        <v>0.126</v>
      </c>
      <c r="E212" s="2943">
        <v>0.13</v>
      </c>
      <c r="F212" s="2943">
        <v>0.13</v>
      </c>
      <c r="G212" s="2944">
        <v>0.129</v>
      </c>
    </row>
    <row r="213" spans="1:7">
      <c r="A213" s="2953" t="s">
        <v>304</v>
      </c>
      <c r="B213" s="2942" t="s">
        <v>288</v>
      </c>
      <c r="C213" s="2943">
        <v>0.129</v>
      </c>
      <c r="D213" s="2943">
        <v>0.13</v>
      </c>
      <c r="E213" s="2943">
        <v>0.127</v>
      </c>
      <c r="F213" s="2943">
        <v>0.13</v>
      </c>
      <c r="G213" s="2944">
        <v>0.13</v>
      </c>
    </row>
    <row r="214" spans="1:7">
      <c r="A214" s="2953" t="s">
        <v>304</v>
      </c>
      <c r="B214" s="2942" t="s">
        <v>2940</v>
      </c>
      <c r="C214" s="2943">
        <v>0.128</v>
      </c>
      <c r="D214" s="2943">
        <v>0.128</v>
      </c>
      <c r="E214" s="2943">
        <v>0.13</v>
      </c>
      <c r="F214" s="2943">
        <v>0.13</v>
      </c>
      <c r="G214" s="2944">
        <v>0.13</v>
      </c>
    </row>
    <row r="215" spans="1:7">
      <c r="A215" s="2953" t="s">
        <v>304</v>
      </c>
      <c r="B215" s="2942" t="s">
        <v>2944</v>
      </c>
      <c r="C215" s="2943">
        <v>0.13</v>
      </c>
      <c r="D215" s="2943">
        <v>0.13</v>
      </c>
      <c r="E215" s="2943">
        <v>0.13</v>
      </c>
      <c r="F215" s="2943">
        <v>0.129</v>
      </c>
      <c r="G215" s="2944">
        <v>0.13</v>
      </c>
    </row>
    <row r="216" spans="1:7">
      <c r="A216" s="2953" t="s">
        <v>304</v>
      </c>
      <c r="B216" s="2942" t="s">
        <v>2951</v>
      </c>
      <c r="C216" s="2943">
        <v>0.13</v>
      </c>
      <c r="D216" s="2943">
        <v>0.13</v>
      </c>
      <c r="E216" s="2943">
        <v>0.13</v>
      </c>
      <c r="F216" s="2943">
        <v>0.13</v>
      </c>
      <c r="G216" s="2944">
        <v>0.13</v>
      </c>
    </row>
    <row r="217" spans="1:7">
      <c r="A217" s="2953" t="s">
        <v>304</v>
      </c>
      <c r="B217" s="2942" t="s">
        <v>2958</v>
      </c>
      <c r="C217" s="2943">
        <v>0.129</v>
      </c>
      <c r="D217" s="2943">
        <v>0.129</v>
      </c>
      <c r="E217" s="2943">
        <v>0.13</v>
      </c>
      <c r="F217" s="2943">
        <v>0.13</v>
      </c>
      <c r="G217" s="2944">
        <v>0.13</v>
      </c>
    </row>
    <row r="218" spans="1:7">
      <c r="A218" s="2953" t="s">
        <v>304</v>
      </c>
      <c r="B218" s="2942" t="s">
        <v>2964</v>
      </c>
      <c r="C218" s="2954"/>
      <c r="D218" s="2954"/>
      <c r="E218" s="2954"/>
      <c r="F218" s="2943">
        <v>0.05</v>
      </c>
      <c r="G218" s="2960"/>
    </row>
    <row r="219" spans="1:7">
      <c r="A219" s="2953" t="s">
        <v>304</v>
      </c>
      <c r="B219" s="2942" t="s">
        <v>2971</v>
      </c>
      <c r="C219" s="2954"/>
      <c r="D219" s="2954"/>
      <c r="E219" s="2954"/>
      <c r="F219" s="2943">
        <v>0.05</v>
      </c>
      <c r="G219" s="2960"/>
    </row>
    <row r="220" spans="1:7">
      <c r="A220" s="2953" t="s">
        <v>304</v>
      </c>
      <c r="B220" s="2942" t="s">
        <v>2977</v>
      </c>
      <c r="C220" s="2954"/>
      <c r="D220" s="2954"/>
      <c r="E220" s="2954"/>
      <c r="F220" s="2943">
        <v>0.05</v>
      </c>
      <c r="G220" s="2960"/>
    </row>
    <row r="221" spans="1:7">
      <c r="A221" s="2953" t="s">
        <v>304</v>
      </c>
      <c r="B221" s="2942" t="s">
        <v>2982</v>
      </c>
      <c r="C221" s="2954"/>
      <c r="D221" s="2954"/>
      <c r="E221" s="2954"/>
      <c r="F221" s="2943">
        <v>0.05</v>
      </c>
      <c r="G221" s="2960"/>
    </row>
    <row r="222" spans="1:7">
      <c r="A222" s="2953" t="s">
        <v>304</v>
      </c>
      <c r="B222" s="2942" t="s">
        <v>2986</v>
      </c>
      <c r="C222" s="2954"/>
      <c r="D222" s="2954"/>
      <c r="E222" s="2954"/>
      <c r="F222" s="2943">
        <v>0.05</v>
      </c>
      <c r="G222" s="2960"/>
    </row>
    <row r="223" spans="1:7">
      <c r="A223" s="2953" t="s">
        <v>304</v>
      </c>
      <c r="B223" s="2942" t="s">
        <v>2991</v>
      </c>
      <c r="C223" s="2954"/>
      <c r="D223" s="2954"/>
      <c r="E223" s="2954"/>
      <c r="F223" s="2943">
        <v>0.05</v>
      </c>
      <c r="G223" s="2960"/>
    </row>
    <row r="224" spans="1:7">
      <c r="A224" s="2953" t="s">
        <v>304</v>
      </c>
      <c r="B224" s="2942" t="s">
        <v>2996</v>
      </c>
      <c r="C224" s="2954"/>
      <c r="D224" s="2954"/>
      <c r="E224" s="2954"/>
      <c r="F224" s="2943">
        <v>0.05</v>
      </c>
      <c r="G224" s="2960"/>
    </row>
    <row r="225" spans="1:7">
      <c r="A225" s="2953" t="s">
        <v>304</v>
      </c>
      <c r="B225" s="2942" t="s">
        <v>3001</v>
      </c>
      <c r="C225" s="2954"/>
      <c r="D225" s="2954"/>
      <c r="E225" s="2954"/>
      <c r="F225" s="2943">
        <v>0.05</v>
      </c>
      <c r="G225" s="2960"/>
    </row>
    <row r="226" spans="1:7">
      <c r="A226" s="2953" t="s">
        <v>304</v>
      </c>
      <c r="B226" s="2942" t="s">
        <v>3203</v>
      </c>
      <c r="C226" s="2954"/>
      <c r="D226" s="2954"/>
      <c r="E226" s="2954"/>
      <c r="F226" s="2943">
        <v>0.05</v>
      </c>
      <c r="G226" s="2960"/>
    </row>
    <row r="227" spans="1:7">
      <c r="A227" s="2953" t="s">
        <v>304</v>
      </c>
      <c r="B227" s="2942" t="s">
        <v>3204</v>
      </c>
      <c r="C227" s="2954"/>
      <c r="D227" s="2954"/>
      <c r="E227" s="2954"/>
      <c r="F227" s="2943">
        <v>0.05</v>
      </c>
      <c r="G227" s="2960"/>
    </row>
    <row r="228" spans="1:7">
      <c r="A228" s="2953" t="s">
        <v>304</v>
      </c>
      <c r="B228" s="2942" t="s">
        <v>3205</v>
      </c>
      <c r="C228" s="2954"/>
      <c r="D228" s="2954"/>
      <c r="E228" s="2954"/>
      <c r="F228" s="2943">
        <v>0.05</v>
      </c>
      <c r="G228" s="2960"/>
    </row>
    <row r="229" spans="1:7">
      <c r="A229" s="2953" t="s">
        <v>304</v>
      </c>
      <c r="B229" s="2942" t="s">
        <v>3206</v>
      </c>
      <c r="C229" s="2954"/>
      <c r="D229" s="2954"/>
      <c r="E229" s="2954"/>
      <c r="F229" s="2943">
        <v>0.05</v>
      </c>
      <c r="G229" s="2960"/>
    </row>
    <row r="230" spans="1:7">
      <c r="A230" s="2953" t="s">
        <v>304</v>
      </c>
      <c r="B230" s="2942" t="s">
        <v>3207</v>
      </c>
      <c r="C230" s="2954"/>
      <c r="D230" s="2954"/>
      <c r="E230" s="2954"/>
      <c r="F230" s="2943">
        <v>0.05</v>
      </c>
      <c r="G230" s="2960"/>
    </row>
    <row r="231" spans="1:7">
      <c r="A231" s="2953" t="s">
        <v>304</v>
      </c>
      <c r="B231" s="2942" t="s">
        <v>3208</v>
      </c>
      <c r="C231" s="2954"/>
      <c r="D231" s="2954"/>
      <c r="E231" s="2954"/>
      <c r="F231" s="2943">
        <v>0.05</v>
      </c>
      <c r="G231" s="2960"/>
    </row>
    <row r="232" spans="1:7">
      <c r="A232" s="2953" t="s">
        <v>304</v>
      </c>
      <c r="B232" s="2942" t="s">
        <v>3209</v>
      </c>
      <c r="C232" s="2954"/>
      <c r="D232" s="2954"/>
      <c r="E232" s="2954"/>
      <c r="F232" s="2943">
        <v>0.05</v>
      </c>
      <c r="G232" s="2960"/>
    </row>
    <row r="233" spans="1:7" ht="14.25" thickBot="1">
      <c r="A233" s="2956" t="s">
        <v>304</v>
      </c>
      <c r="B233" s="2946" t="s">
        <v>3210</v>
      </c>
      <c r="C233" s="2948"/>
      <c r="D233" s="2948"/>
      <c r="E233" s="2948"/>
      <c r="F233" s="2947">
        <v>0.05</v>
      </c>
      <c r="G233" s="2961"/>
    </row>
    <row r="234" spans="1:7">
      <c r="A234" s="2952" t="s">
        <v>305</v>
      </c>
      <c r="B234" s="2938" t="s">
        <v>2859</v>
      </c>
      <c r="C234" s="2939">
        <v>0.13</v>
      </c>
      <c r="D234" s="2939">
        <v>0.128</v>
      </c>
      <c r="E234" s="2939">
        <v>0.14199999999999999</v>
      </c>
      <c r="F234" s="2939">
        <v>0.14699999999999999</v>
      </c>
      <c r="G234" s="2940">
        <v>0.14000000000000001</v>
      </c>
    </row>
    <row r="235" spans="1:7">
      <c r="A235" s="2953" t="s">
        <v>305</v>
      </c>
      <c r="B235" s="2942" t="s">
        <v>134</v>
      </c>
      <c r="C235" s="2943">
        <v>0.13600000000000001</v>
      </c>
      <c r="D235" s="2943">
        <v>0.13800000000000001</v>
      </c>
      <c r="E235" s="2943">
        <v>0.14499999999999999</v>
      </c>
      <c r="F235" s="2943">
        <v>0.14299999999999999</v>
      </c>
      <c r="G235" s="2944">
        <v>0.14099999999999999</v>
      </c>
    </row>
    <row r="236" spans="1:7">
      <c r="A236" s="2953" t="s">
        <v>305</v>
      </c>
      <c r="B236" s="2942" t="s">
        <v>143</v>
      </c>
      <c r="C236" s="2943">
        <v>0.15</v>
      </c>
      <c r="D236" s="2943">
        <v>0.15</v>
      </c>
      <c r="E236" s="2943">
        <v>0.15</v>
      </c>
      <c r="F236" s="2943">
        <v>0.15</v>
      </c>
      <c r="G236" s="2944">
        <v>0.15</v>
      </c>
    </row>
    <row r="237" spans="1:7">
      <c r="A237" s="2953" t="s">
        <v>305</v>
      </c>
      <c r="B237" s="2942" t="s">
        <v>152</v>
      </c>
      <c r="C237" s="2943">
        <v>0.15</v>
      </c>
      <c r="D237" s="2943">
        <v>0.15</v>
      </c>
      <c r="E237" s="2943">
        <v>0.15</v>
      </c>
      <c r="F237" s="2943">
        <v>0.15</v>
      </c>
      <c r="G237" s="2944">
        <v>0.15</v>
      </c>
    </row>
    <row r="238" spans="1:7">
      <c r="A238" s="2953" t="s">
        <v>305</v>
      </c>
      <c r="B238" s="2942" t="s">
        <v>2879</v>
      </c>
      <c r="C238" s="2943">
        <v>0.14899999999999999</v>
      </c>
      <c r="D238" s="2943">
        <v>0.14899999999999999</v>
      </c>
      <c r="E238" s="2943">
        <v>0.15</v>
      </c>
      <c r="F238" s="2943">
        <v>0.15</v>
      </c>
      <c r="G238" s="2944">
        <v>0.15</v>
      </c>
    </row>
    <row r="239" spans="1:7">
      <c r="A239" s="2953" t="s">
        <v>305</v>
      </c>
      <c r="B239" s="2942" t="s">
        <v>2883</v>
      </c>
      <c r="C239" s="2943">
        <v>0.15</v>
      </c>
      <c r="D239" s="2943">
        <v>0.15</v>
      </c>
      <c r="E239" s="2943">
        <v>0.15</v>
      </c>
      <c r="F239" s="2943">
        <v>0.15</v>
      </c>
      <c r="G239" s="2944">
        <v>0.15</v>
      </c>
    </row>
    <row r="240" spans="1:7">
      <c r="A240" s="2953" t="s">
        <v>305</v>
      </c>
      <c r="B240" s="2942" t="s">
        <v>2888</v>
      </c>
      <c r="C240" s="2943">
        <v>0.15</v>
      </c>
      <c r="D240" s="2943">
        <v>0.15</v>
      </c>
      <c r="E240" s="2943">
        <v>0.15</v>
      </c>
      <c r="F240" s="2943">
        <v>0.15</v>
      </c>
      <c r="G240" s="2944">
        <v>0.15</v>
      </c>
    </row>
    <row r="241" spans="1:7">
      <c r="A241" s="2953" t="s">
        <v>305</v>
      </c>
      <c r="B241" s="2942" t="s">
        <v>2892</v>
      </c>
      <c r="C241" s="2943">
        <v>0.14099999999999999</v>
      </c>
      <c r="D241" s="2943">
        <v>0.14199999999999999</v>
      </c>
      <c r="E241" s="2943">
        <v>0.14899999999999999</v>
      </c>
      <c r="F241" s="2943">
        <v>0.15</v>
      </c>
      <c r="G241" s="2944">
        <v>0.14399999999999999</v>
      </c>
    </row>
    <row r="242" spans="1:7">
      <c r="A242" s="2953" t="s">
        <v>305</v>
      </c>
      <c r="B242" s="2942" t="s">
        <v>181</v>
      </c>
      <c r="C242" s="2943">
        <v>0.14099999999999999</v>
      </c>
      <c r="D242" s="2943">
        <v>0.14199999999999999</v>
      </c>
      <c r="E242" s="2943">
        <v>0.14799999999999999</v>
      </c>
      <c r="F242" s="2943">
        <v>0.127</v>
      </c>
      <c r="G242" s="2944">
        <v>0.14399999999999999</v>
      </c>
    </row>
    <row r="243" spans="1:7">
      <c r="A243" s="2953" t="s">
        <v>305</v>
      </c>
      <c r="B243" s="2942" t="s">
        <v>191</v>
      </c>
      <c r="C243" s="2943">
        <v>0.14699999999999999</v>
      </c>
      <c r="D243" s="2943">
        <v>0.14699999999999999</v>
      </c>
      <c r="E243" s="2943">
        <v>0.15</v>
      </c>
      <c r="F243" s="2943">
        <v>0.15</v>
      </c>
      <c r="G243" s="2944">
        <v>0.14899999999999999</v>
      </c>
    </row>
    <row r="244" spans="1:7">
      <c r="A244" s="2953" t="s">
        <v>305</v>
      </c>
      <c r="B244" s="2942" t="s">
        <v>2898</v>
      </c>
      <c r="C244" s="2943">
        <v>0.15</v>
      </c>
      <c r="D244" s="2943">
        <v>0.15</v>
      </c>
      <c r="E244" s="2943">
        <v>0.15</v>
      </c>
      <c r="F244" s="2943">
        <v>0.15</v>
      </c>
      <c r="G244" s="2944">
        <v>0.15</v>
      </c>
    </row>
    <row r="245" spans="1:7">
      <c r="A245" s="2953" t="s">
        <v>305</v>
      </c>
      <c r="B245" s="2942" t="s">
        <v>206</v>
      </c>
      <c r="C245" s="2943">
        <v>0.14199999999999999</v>
      </c>
      <c r="D245" s="2943">
        <v>0.14199999999999999</v>
      </c>
      <c r="E245" s="2943">
        <v>0.15</v>
      </c>
      <c r="F245" s="2943">
        <v>0.15</v>
      </c>
      <c r="G245" s="2944">
        <v>0.14499999999999999</v>
      </c>
    </row>
    <row r="246" spans="1:7">
      <c r="A246" s="2953" t="s">
        <v>305</v>
      </c>
      <c r="B246" s="2942" t="s">
        <v>213</v>
      </c>
      <c r="C246" s="2943">
        <v>0.14199999999999999</v>
      </c>
      <c r="D246" s="2943">
        <v>0.14299999999999999</v>
      </c>
      <c r="E246" s="2943">
        <v>0.15</v>
      </c>
      <c r="F246" s="2943">
        <v>0.14199999999999999</v>
      </c>
      <c r="G246" s="2944">
        <v>0.14399999999999999</v>
      </c>
    </row>
    <row r="247" spans="1:7">
      <c r="A247" s="2953" t="s">
        <v>305</v>
      </c>
      <c r="B247" s="2942" t="s">
        <v>2906</v>
      </c>
      <c r="C247" s="2943">
        <v>0.14899999999999999</v>
      </c>
      <c r="D247" s="2943">
        <v>0.14899999999999999</v>
      </c>
      <c r="E247" s="2943">
        <v>0.15</v>
      </c>
      <c r="F247" s="2943">
        <v>0.15</v>
      </c>
      <c r="G247" s="2944">
        <v>0.15</v>
      </c>
    </row>
    <row r="248" spans="1:7">
      <c r="A248" s="2953" t="s">
        <v>305</v>
      </c>
      <c r="B248" s="2942" t="s">
        <v>227</v>
      </c>
      <c r="C248" s="2943">
        <v>0.14399999999999999</v>
      </c>
      <c r="D248" s="2943">
        <v>0.14399999999999999</v>
      </c>
      <c r="E248" s="2943">
        <v>0.14899999999999999</v>
      </c>
      <c r="F248" s="2943">
        <v>0.14799999999999999</v>
      </c>
      <c r="G248" s="2944">
        <v>0.14599999999999999</v>
      </c>
    </row>
    <row r="249" spans="1:7">
      <c r="A249" s="2953" t="s">
        <v>305</v>
      </c>
      <c r="B249" s="2942" t="s">
        <v>2911</v>
      </c>
      <c r="C249" s="2943">
        <v>0.14000000000000001</v>
      </c>
      <c r="D249" s="2943">
        <v>0.14000000000000001</v>
      </c>
      <c r="E249" s="2943">
        <v>0.14699999999999999</v>
      </c>
      <c r="F249" s="2943">
        <v>0.14899999999999999</v>
      </c>
      <c r="G249" s="2944">
        <v>0.14199999999999999</v>
      </c>
    </row>
    <row r="250" spans="1:7">
      <c r="A250" s="2953" t="s">
        <v>305</v>
      </c>
      <c r="B250" s="2942" t="s">
        <v>241</v>
      </c>
      <c r="C250" s="2943">
        <v>0.14399999999999999</v>
      </c>
      <c r="D250" s="2943">
        <v>0.14299999999999999</v>
      </c>
      <c r="E250" s="2943">
        <v>0.14899999999999999</v>
      </c>
      <c r="F250" s="2943">
        <v>0.15</v>
      </c>
      <c r="G250" s="2944">
        <v>0.14599999999999999</v>
      </c>
    </row>
    <row r="251" spans="1:7">
      <c r="A251" s="2953" t="s">
        <v>305</v>
      </c>
      <c r="B251" s="2942" t="s">
        <v>249</v>
      </c>
      <c r="C251" s="2959"/>
      <c r="D251" s="2954"/>
      <c r="E251" s="2954"/>
      <c r="F251" s="2943">
        <v>0.1</v>
      </c>
      <c r="G251" s="2960"/>
    </row>
    <row r="252" spans="1:7">
      <c r="A252" s="2953" t="s">
        <v>305</v>
      </c>
      <c r="B252" s="2942" t="s">
        <v>2919</v>
      </c>
      <c r="C252" s="2943">
        <v>0.14399999999999999</v>
      </c>
      <c r="D252" s="2943">
        <v>0.14399999999999999</v>
      </c>
      <c r="E252" s="2943">
        <v>0.15</v>
      </c>
      <c r="F252" s="2943">
        <v>0.14899999999999999</v>
      </c>
      <c r="G252" s="2944">
        <v>0.14599999999999999</v>
      </c>
    </row>
    <row r="253" spans="1:7">
      <c r="A253" s="2953" t="s">
        <v>305</v>
      </c>
      <c r="B253" s="2942" t="s">
        <v>283</v>
      </c>
      <c r="C253" s="2943">
        <v>0.14199999999999999</v>
      </c>
      <c r="D253" s="2943">
        <v>0.14199999999999999</v>
      </c>
      <c r="E253" s="2943">
        <v>0.14599999999999999</v>
      </c>
      <c r="F253" s="2943">
        <v>0.14799999999999999</v>
      </c>
      <c r="G253" s="2944">
        <v>0.14499999999999999</v>
      </c>
    </row>
    <row r="254" spans="1:7">
      <c r="A254" s="2953" t="s">
        <v>305</v>
      </c>
      <c r="B254" s="2942" t="s">
        <v>286</v>
      </c>
      <c r="C254" s="2943">
        <v>0.15</v>
      </c>
      <c r="D254" s="2943">
        <v>0.15</v>
      </c>
      <c r="E254" s="2943">
        <v>0.15</v>
      </c>
      <c r="F254" s="2943">
        <v>0.15</v>
      </c>
      <c r="G254" s="2944">
        <v>0.15</v>
      </c>
    </row>
    <row r="255" spans="1:7">
      <c r="A255" s="2953" t="s">
        <v>305</v>
      </c>
      <c r="B255" s="2942" t="s">
        <v>289</v>
      </c>
      <c r="C255" s="2943">
        <v>0.14299999999999999</v>
      </c>
      <c r="D255" s="2943">
        <v>0.14299999999999999</v>
      </c>
      <c r="E255" s="2943">
        <v>0.15</v>
      </c>
      <c r="F255" s="2943">
        <v>0.15</v>
      </c>
      <c r="G255" s="2944">
        <v>0.14499999999999999</v>
      </c>
    </row>
    <row r="256" spans="1:7">
      <c r="A256" s="2953" t="s">
        <v>305</v>
      </c>
      <c r="B256" s="2942" t="s">
        <v>2932</v>
      </c>
      <c r="C256" s="2943">
        <v>0.15</v>
      </c>
      <c r="D256" s="2943">
        <v>0.15</v>
      </c>
      <c r="E256" s="2943">
        <v>0.15</v>
      </c>
      <c r="F256" s="2943">
        <v>0.14599999999999999</v>
      </c>
      <c r="G256" s="2944">
        <v>0.15</v>
      </c>
    </row>
    <row r="257" spans="1:7">
      <c r="A257" s="2953" t="s">
        <v>305</v>
      </c>
      <c r="B257" s="2942" t="s">
        <v>275</v>
      </c>
      <c r="C257" s="2943">
        <v>0.14199999999999999</v>
      </c>
      <c r="D257" s="2943">
        <v>0.14299999999999999</v>
      </c>
      <c r="E257" s="2943">
        <v>0.14799999999999999</v>
      </c>
      <c r="F257" s="2943">
        <v>0.15</v>
      </c>
      <c r="G257" s="2944">
        <v>0.14499999999999999</v>
      </c>
    </row>
    <row r="258" spans="1:7">
      <c r="A258" s="2953" t="s">
        <v>305</v>
      </c>
      <c r="B258" s="2942" t="s">
        <v>2941</v>
      </c>
      <c r="C258" s="2943">
        <v>0.14299999999999999</v>
      </c>
      <c r="D258" s="2943">
        <v>0.14299999999999999</v>
      </c>
      <c r="E258" s="2943">
        <v>0.15</v>
      </c>
      <c r="F258" s="2943">
        <v>0.14799999999999999</v>
      </c>
      <c r="G258" s="2944">
        <v>0.14599999999999999</v>
      </c>
    </row>
    <row r="259" spans="1:7">
      <c r="A259" s="2953" t="s">
        <v>305</v>
      </c>
      <c r="B259" s="2942" t="s">
        <v>2945</v>
      </c>
      <c r="C259" s="2943">
        <v>0.14399999999999999</v>
      </c>
      <c r="D259" s="2943">
        <v>0.14399999999999999</v>
      </c>
      <c r="E259" s="2943">
        <v>0.14899999999999999</v>
      </c>
      <c r="F259" s="2943">
        <v>0.14699999999999999</v>
      </c>
      <c r="G259" s="2944">
        <v>0.14599999999999999</v>
      </c>
    </row>
    <row r="260" spans="1:7">
      <c r="A260" s="2953" t="s">
        <v>305</v>
      </c>
      <c r="B260" s="2942" t="s">
        <v>2952</v>
      </c>
      <c r="C260" s="2943">
        <v>0.109</v>
      </c>
      <c r="D260" s="2943">
        <v>0.111</v>
      </c>
      <c r="E260" s="2943">
        <v>0.13100000000000001</v>
      </c>
      <c r="F260" s="2943">
        <v>0.126</v>
      </c>
      <c r="G260" s="2944">
        <v>0.11899999999999999</v>
      </c>
    </row>
    <row r="261" spans="1:7">
      <c r="A261" s="2953" t="s">
        <v>305</v>
      </c>
      <c r="B261" s="2942" t="s">
        <v>2959</v>
      </c>
      <c r="C261" s="2943">
        <v>0.1</v>
      </c>
      <c r="D261" s="2943">
        <v>0.1</v>
      </c>
      <c r="E261" s="2943">
        <v>0.11799999999999999</v>
      </c>
      <c r="F261" s="2943">
        <v>0.108</v>
      </c>
      <c r="G261" s="2944">
        <v>0.107</v>
      </c>
    </row>
    <row r="262" spans="1:7">
      <c r="A262" s="2953" t="s">
        <v>305</v>
      </c>
      <c r="B262" s="2942" t="s">
        <v>2965</v>
      </c>
      <c r="C262" s="2943">
        <v>0.1</v>
      </c>
      <c r="D262" s="2943">
        <v>0.1</v>
      </c>
      <c r="E262" s="2943">
        <v>0.1</v>
      </c>
      <c r="F262" s="2943">
        <v>0.14099999999999999</v>
      </c>
      <c r="G262" s="2944">
        <v>0.1</v>
      </c>
    </row>
    <row r="263" spans="1:7">
      <c r="A263" s="2953" t="s">
        <v>305</v>
      </c>
      <c r="B263" s="2942" t="s">
        <v>2972</v>
      </c>
      <c r="C263" s="2943">
        <v>0.14799999999999999</v>
      </c>
      <c r="D263" s="2943">
        <v>0.14799999999999999</v>
      </c>
      <c r="E263" s="2943">
        <v>0.15</v>
      </c>
      <c r="F263" s="2943">
        <v>0.14699999999999999</v>
      </c>
      <c r="G263" s="2944">
        <v>0.15</v>
      </c>
    </row>
    <row r="264" spans="1:7">
      <c r="A264" s="2953" t="s">
        <v>305</v>
      </c>
      <c r="B264" s="2942" t="s">
        <v>299</v>
      </c>
      <c r="C264" s="2943">
        <v>0.14299999999999999</v>
      </c>
      <c r="D264" s="2943">
        <v>0.14299999999999999</v>
      </c>
      <c r="E264" s="2943">
        <v>0.15</v>
      </c>
      <c r="F264" s="2943">
        <v>0.14899999999999999</v>
      </c>
      <c r="G264" s="2944">
        <v>0.14599999999999999</v>
      </c>
    </row>
    <row r="265" spans="1:7">
      <c r="A265" s="2953" t="s">
        <v>305</v>
      </c>
      <c r="B265" s="2942" t="s">
        <v>2983</v>
      </c>
      <c r="C265" s="2954"/>
      <c r="D265" s="2954"/>
      <c r="E265" s="2954"/>
      <c r="F265" s="2943">
        <v>0.05</v>
      </c>
      <c r="G265" s="2960"/>
    </row>
    <row r="266" spans="1:7">
      <c r="A266" s="2953" t="s">
        <v>305</v>
      </c>
      <c r="B266" s="2942" t="s">
        <v>2987</v>
      </c>
      <c r="C266" s="2954"/>
      <c r="D266" s="2954"/>
      <c r="E266" s="2954"/>
      <c r="F266" s="2943">
        <v>0.05</v>
      </c>
      <c r="G266" s="2960"/>
    </row>
    <row r="267" spans="1:7">
      <c r="A267" s="2953" t="s">
        <v>305</v>
      </c>
      <c r="B267" s="2942" t="s">
        <v>2992</v>
      </c>
      <c r="C267" s="2954"/>
      <c r="D267" s="2954"/>
      <c r="E267" s="2954"/>
      <c r="F267" s="2943">
        <v>0.05</v>
      </c>
      <c r="G267" s="2960"/>
    </row>
    <row r="268" spans="1:7">
      <c r="A268" s="2953" t="s">
        <v>305</v>
      </c>
      <c r="B268" s="2942" t="s">
        <v>2997</v>
      </c>
      <c r="C268" s="2954"/>
      <c r="D268" s="2954"/>
      <c r="E268" s="2954"/>
      <c r="F268" s="2943">
        <v>0.05</v>
      </c>
      <c r="G268" s="2960"/>
    </row>
    <row r="269" spans="1:7">
      <c r="A269" s="2953" t="s">
        <v>305</v>
      </c>
      <c r="B269" s="2942" t="s">
        <v>3002</v>
      </c>
      <c r="C269" s="2954"/>
      <c r="D269" s="2954"/>
      <c r="E269" s="2954"/>
      <c r="F269" s="2943">
        <v>0.05</v>
      </c>
      <c r="G269" s="2960"/>
    </row>
    <row r="270" spans="1:7">
      <c r="A270" s="2953" t="s">
        <v>305</v>
      </c>
      <c r="B270" s="2942" t="s">
        <v>3007</v>
      </c>
      <c r="C270" s="2954"/>
      <c r="D270" s="2954"/>
      <c r="E270" s="2954"/>
      <c r="F270" s="2943">
        <v>0.05</v>
      </c>
      <c r="G270" s="2960"/>
    </row>
    <row r="271" spans="1:7">
      <c r="A271" s="2953" t="s">
        <v>305</v>
      </c>
      <c r="B271" s="2942" t="s">
        <v>3211</v>
      </c>
      <c r="C271" s="2954"/>
      <c r="D271" s="2954"/>
      <c r="E271" s="2954"/>
      <c r="F271" s="2943">
        <v>0.05</v>
      </c>
      <c r="G271" s="2960"/>
    </row>
    <row r="272" spans="1:7">
      <c r="A272" s="2953" t="s">
        <v>305</v>
      </c>
      <c r="B272" s="2942" t="s">
        <v>3212</v>
      </c>
      <c r="C272" s="2954"/>
      <c r="D272" s="2954"/>
      <c r="E272" s="2954"/>
      <c r="F272" s="2943">
        <v>0.05</v>
      </c>
      <c r="G272" s="2960"/>
    </row>
    <row r="273" spans="1:7">
      <c r="A273" s="2953" t="s">
        <v>305</v>
      </c>
      <c r="B273" s="2942" t="s">
        <v>3213</v>
      </c>
      <c r="C273" s="2954"/>
      <c r="D273" s="2954"/>
      <c r="E273" s="2954"/>
      <c r="F273" s="2943">
        <v>0.05</v>
      </c>
      <c r="G273" s="2960"/>
    </row>
    <row r="274" spans="1:7">
      <c r="A274" s="2953" t="s">
        <v>305</v>
      </c>
      <c r="B274" s="2942" t="s">
        <v>3214</v>
      </c>
      <c r="C274" s="2954"/>
      <c r="D274" s="2954"/>
      <c r="E274" s="2954"/>
      <c r="F274" s="2943">
        <v>0.05</v>
      </c>
      <c r="G274" s="2960"/>
    </row>
    <row r="275" spans="1:7">
      <c r="A275" s="2953" t="s">
        <v>305</v>
      </c>
      <c r="B275" s="2942" t="s">
        <v>3215</v>
      </c>
      <c r="C275" s="2954"/>
      <c r="D275" s="2954"/>
      <c r="E275" s="2954"/>
      <c r="F275" s="2943">
        <v>0.05</v>
      </c>
      <c r="G275" s="2960"/>
    </row>
    <row r="276" spans="1:7" ht="14.25" thickBot="1">
      <c r="A276" s="2956" t="s">
        <v>305</v>
      </c>
      <c r="B276" s="2946" t="s">
        <v>3216</v>
      </c>
      <c r="C276" s="2948"/>
      <c r="D276" s="2948"/>
      <c r="E276" s="2948"/>
      <c r="F276" s="2947">
        <v>0.05</v>
      </c>
      <c r="G276" s="2961"/>
    </row>
    <row r="277" spans="1:7">
      <c r="A277" s="2952" t="s">
        <v>306</v>
      </c>
      <c r="B277" s="2938" t="s">
        <v>2860</v>
      </c>
      <c r="C277" s="2939">
        <v>0.15</v>
      </c>
      <c r="D277" s="2939">
        <v>0.15</v>
      </c>
      <c r="E277" s="2939">
        <v>0.15</v>
      </c>
      <c r="F277" s="2939">
        <v>0.15</v>
      </c>
      <c r="G277" s="2940">
        <v>0.15</v>
      </c>
    </row>
    <row r="278" spans="1:7">
      <c r="A278" s="2953" t="s">
        <v>306</v>
      </c>
      <c r="B278" s="2942" t="s">
        <v>135</v>
      </c>
      <c r="C278" s="2943">
        <v>0.15</v>
      </c>
      <c r="D278" s="2943">
        <v>0.15</v>
      </c>
      <c r="E278" s="2943">
        <v>0.15</v>
      </c>
      <c r="F278" s="2943">
        <v>0.15</v>
      </c>
      <c r="G278" s="2944">
        <v>0.15</v>
      </c>
    </row>
    <row r="279" spans="1:7">
      <c r="A279" s="2953" t="s">
        <v>306</v>
      </c>
      <c r="B279" s="2942" t="s">
        <v>2872</v>
      </c>
      <c r="C279" s="2943">
        <v>0.15</v>
      </c>
      <c r="D279" s="2943">
        <v>0.15</v>
      </c>
      <c r="E279" s="2943">
        <v>0.15</v>
      </c>
      <c r="F279" s="2943">
        <v>0.15</v>
      </c>
      <c r="G279" s="2944">
        <v>0.15</v>
      </c>
    </row>
    <row r="280" spans="1:7">
      <c r="A280" s="2953" t="s">
        <v>306</v>
      </c>
      <c r="B280" s="2942" t="s">
        <v>2876</v>
      </c>
      <c r="C280" s="2943">
        <v>0.15</v>
      </c>
      <c r="D280" s="2943">
        <v>0.15</v>
      </c>
      <c r="E280" s="2943">
        <v>0.15</v>
      </c>
      <c r="F280" s="2943">
        <v>0.15</v>
      </c>
      <c r="G280" s="2944">
        <v>0.15</v>
      </c>
    </row>
    <row r="281" spans="1:7">
      <c r="A281" s="2953" t="s">
        <v>306</v>
      </c>
      <c r="B281" s="2942" t="s">
        <v>2880</v>
      </c>
      <c r="C281" s="2943">
        <v>0.15</v>
      </c>
      <c r="D281" s="2943">
        <v>0.15</v>
      </c>
      <c r="E281" s="2943">
        <v>0.15</v>
      </c>
      <c r="F281" s="2943">
        <v>0.15</v>
      </c>
      <c r="G281" s="2944">
        <v>0.15</v>
      </c>
    </row>
    <row r="282" spans="1:7">
      <c r="A282" s="2953" t="s">
        <v>306</v>
      </c>
      <c r="B282" s="2942" t="s">
        <v>2884</v>
      </c>
      <c r="C282" s="2943">
        <v>0.15</v>
      </c>
      <c r="D282" s="2943">
        <v>0.15</v>
      </c>
      <c r="E282" s="2943">
        <v>0.15</v>
      </c>
      <c r="F282" s="2943">
        <v>0.14499999999999999</v>
      </c>
      <c r="G282" s="2944">
        <v>0.15</v>
      </c>
    </row>
    <row r="283" spans="1:7">
      <c r="A283" s="2953" t="s">
        <v>306</v>
      </c>
      <c r="B283" s="2942" t="s">
        <v>174</v>
      </c>
      <c r="C283" s="2943">
        <v>0.15</v>
      </c>
      <c r="D283" s="2943">
        <v>0.15</v>
      </c>
      <c r="E283" s="2943">
        <v>0.15</v>
      </c>
      <c r="F283" s="2943">
        <v>0.14199999999999999</v>
      </c>
      <c r="G283" s="2944">
        <v>0.15</v>
      </c>
    </row>
    <row r="284" spans="1:7">
      <c r="A284" s="2953" t="s">
        <v>306</v>
      </c>
      <c r="B284" s="2942" t="s">
        <v>182</v>
      </c>
      <c r="C284" s="2943">
        <v>0.15</v>
      </c>
      <c r="D284" s="2943">
        <v>0.15</v>
      </c>
      <c r="E284" s="2943">
        <v>0.15</v>
      </c>
      <c r="F284" s="2943">
        <v>0.15</v>
      </c>
      <c r="G284" s="2944">
        <v>0.15</v>
      </c>
    </row>
    <row r="285" spans="1:7">
      <c r="A285" s="2953" t="s">
        <v>306</v>
      </c>
      <c r="B285" s="2942" t="s">
        <v>192</v>
      </c>
      <c r="C285" s="2943">
        <v>0.15</v>
      </c>
      <c r="D285" s="2943">
        <v>0.15</v>
      </c>
      <c r="E285" s="2943">
        <v>0.15</v>
      </c>
      <c r="F285" s="2943">
        <v>0.15</v>
      </c>
      <c r="G285" s="2944">
        <v>0.15</v>
      </c>
    </row>
    <row r="286" spans="1:7">
      <c r="A286" s="2953" t="s">
        <v>306</v>
      </c>
      <c r="B286" s="2942" t="s">
        <v>199</v>
      </c>
      <c r="C286" s="2943">
        <v>0.14499999999999999</v>
      </c>
      <c r="D286" s="2943">
        <v>0.14499999999999999</v>
      </c>
      <c r="E286" s="2943">
        <v>0.15</v>
      </c>
      <c r="F286" s="2943">
        <v>0.14099999999999999</v>
      </c>
      <c r="G286" s="2944">
        <v>0.14499999999999999</v>
      </c>
    </row>
    <row r="287" spans="1:7">
      <c r="A287" s="2953" t="s">
        <v>306</v>
      </c>
      <c r="B287" s="2942" t="s">
        <v>2899</v>
      </c>
      <c r="C287" s="2943">
        <v>0.11</v>
      </c>
      <c r="D287" s="2943">
        <v>0.111</v>
      </c>
      <c r="E287" s="2943">
        <v>0.14099999999999999</v>
      </c>
      <c r="F287" s="2943">
        <v>0.11</v>
      </c>
      <c r="G287" s="2944">
        <v>0.12</v>
      </c>
    </row>
    <row r="288" spans="1:7">
      <c r="A288" s="2953" t="s">
        <v>306</v>
      </c>
      <c r="B288" s="2942" t="s">
        <v>219</v>
      </c>
      <c r="C288" s="2943">
        <v>0.14199999999999999</v>
      </c>
      <c r="D288" s="2943">
        <v>0.14299999999999999</v>
      </c>
      <c r="E288" s="2943">
        <v>0.15</v>
      </c>
      <c r="F288" s="2943">
        <v>0.14199999999999999</v>
      </c>
      <c r="G288" s="2944">
        <v>0.14399999999999999</v>
      </c>
    </row>
    <row r="289" spans="1:7">
      <c r="A289" s="2953" t="s">
        <v>306</v>
      </c>
      <c r="B289" s="2942" t="s">
        <v>2904</v>
      </c>
      <c r="C289" s="2943">
        <v>0.14299999999999999</v>
      </c>
      <c r="D289" s="2943">
        <v>0.14299999999999999</v>
      </c>
      <c r="E289" s="2943">
        <v>0.14799999999999999</v>
      </c>
      <c r="F289" s="2943">
        <v>0.14399999999999999</v>
      </c>
      <c r="G289" s="2944">
        <v>0.14399999999999999</v>
      </c>
    </row>
    <row r="290" spans="1:7">
      <c r="A290" s="2953" t="s">
        <v>306</v>
      </c>
      <c r="B290" s="2942" t="s">
        <v>242</v>
      </c>
      <c r="C290" s="2943">
        <v>0.14799999999999999</v>
      </c>
      <c r="D290" s="2943">
        <v>0.14899999999999999</v>
      </c>
      <c r="E290" s="2943">
        <v>0.15</v>
      </c>
      <c r="F290" s="2943">
        <v>0.127</v>
      </c>
      <c r="G290" s="2944">
        <v>0.15</v>
      </c>
    </row>
    <row r="291" spans="1:7">
      <c r="A291" s="2953" t="s">
        <v>306</v>
      </c>
      <c r="B291" s="2942" t="s">
        <v>250</v>
      </c>
      <c r="C291" s="2943">
        <v>0.15</v>
      </c>
      <c r="D291" s="2943">
        <v>0.15</v>
      </c>
      <c r="E291" s="2943">
        <v>0.15</v>
      </c>
      <c r="F291" s="2943">
        <v>0.14899999999999999</v>
      </c>
      <c r="G291" s="2944">
        <v>0.15</v>
      </c>
    </row>
    <row r="292" spans="1:7">
      <c r="A292" s="2953" t="s">
        <v>306</v>
      </c>
      <c r="B292" s="2942" t="s">
        <v>256</v>
      </c>
      <c r="C292" s="2943">
        <v>0.15</v>
      </c>
      <c r="D292" s="2943">
        <v>0.15</v>
      </c>
      <c r="E292" s="2943">
        <v>0.15</v>
      </c>
      <c r="F292" s="2943">
        <v>0.14399999999999999</v>
      </c>
      <c r="G292" s="2944">
        <v>0.15</v>
      </c>
    </row>
    <row r="293" spans="1:7">
      <c r="A293" s="2953" t="s">
        <v>306</v>
      </c>
      <c r="B293" s="2942" t="s">
        <v>2914</v>
      </c>
      <c r="C293" s="2943">
        <v>0.15</v>
      </c>
      <c r="D293" s="2943">
        <v>0.15</v>
      </c>
      <c r="E293" s="2943">
        <v>0.15</v>
      </c>
      <c r="F293" s="2943">
        <v>0.14499999999999999</v>
      </c>
      <c r="G293" s="2944">
        <v>0.15</v>
      </c>
    </row>
    <row r="294" spans="1:7">
      <c r="A294" s="2953" t="s">
        <v>306</v>
      </c>
      <c r="B294" s="2942" t="s">
        <v>2916</v>
      </c>
      <c r="C294" s="2943">
        <v>0.15</v>
      </c>
      <c r="D294" s="2943">
        <v>0.15</v>
      </c>
      <c r="E294" s="2943">
        <v>0.15</v>
      </c>
      <c r="F294" s="2943">
        <v>0.14899999999999999</v>
      </c>
      <c r="G294" s="2944">
        <v>0.15</v>
      </c>
    </row>
    <row r="295" spans="1:7">
      <c r="A295" s="2953" t="s">
        <v>306</v>
      </c>
      <c r="B295" s="2942" t="s">
        <v>290</v>
      </c>
      <c r="C295" s="2943">
        <v>0.15</v>
      </c>
      <c r="D295" s="2943">
        <v>0.15</v>
      </c>
      <c r="E295" s="2943">
        <v>0.15</v>
      </c>
      <c r="F295" s="2943">
        <v>0.14799999999999999</v>
      </c>
      <c r="G295" s="2944">
        <v>0.15</v>
      </c>
    </row>
    <row r="296" spans="1:7">
      <c r="A296" s="2953" t="s">
        <v>306</v>
      </c>
      <c r="B296" s="2942" t="s">
        <v>293</v>
      </c>
      <c r="C296" s="2943">
        <v>0.15</v>
      </c>
      <c r="D296" s="2943">
        <v>0.15</v>
      </c>
      <c r="E296" s="2943">
        <v>0.15</v>
      </c>
      <c r="F296" s="2943">
        <v>0.14399999999999999</v>
      </c>
      <c r="G296" s="2944">
        <v>0.15</v>
      </c>
    </row>
    <row r="297" spans="1:7">
      <c r="A297" s="2953" t="s">
        <v>306</v>
      </c>
      <c r="B297" s="2942" t="s">
        <v>295</v>
      </c>
      <c r="C297" s="2943">
        <v>0.15</v>
      </c>
      <c r="D297" s="2943">
        <v>0.15</v>
      </c>
      <c r="E297" s="2943">
        <v>0.15</v>
      </c>
      <c r="F297" s="2943">
        <v>0.14499999999999999</v>
      </c>
      <c r="G297" s="2944">
        <v>0.15</v>
      </c>
    </row>
    <row r="298" spans="1:7">
      <c r="A298" s="2953" t="s">
        <v>306</v>
      </c>
      <c r="B298" s="2942" t="s">
        <v>298</v>
      </c>
      <c r="C298" s="2943">
        <v>0.15</v>
      </c>
      <c r="D298" s="2943">
        <v>0.15</v>
      </c>
      <c r="E298" s="2943">
        <v>0.15</v>
      </c>
      <c r="F298" s="2943">
        <v>0.15</v>
      </c>
      <c r="G298" s="2944">
        <v>0.15</v>
      </c>
    </row>
    <row r="299" spans="1:7">
      <c r="A299" s="2953" t="s">
        <v>306</v>
      </c>
      <c r="B299" s="2962" t="s">
        <v>2933</v>
      </c>
      <c r="C299" s="2943">
        <v>0.15</v>
      </c>
      <c r="D299" s="2943">
        <v>0.15</v>
      </c>
      <c r="E299" s="2943">
        <v>0.15</v>
      </c>
      <c r="F299" s="2943">
        <v>0.14499999999999999</v>
      </c>
      <c r="G299" s="2944">
        <v>0.15</v>
      </c>
    </row>
    <row r="300" spans="1:7">
      <c r="A300" s="2953" t="s">
        <v>306</v>
      </c>
      <c r="B300" s="2962" t="s">
        <v>271</v>
      </c>
      <c r="C300" s="2943">
        <v>0.15</v>
      </c>
      <c r="D300" s="2943">
        <v>0.15</v>
      </c>
      <c r="E300" s="2943">
        <v>0.15</v>
      </c>
      <c r="F300" s="2943">
        <v>0.14599999999999999</v>
      </c>
      <c r="G300" s="2944">
        <v>0.15</v>
      </c>
    </row>
    <row r="301" spans="1:7">
      <c r="A301" s="2953" t="s">
        <v>306</v>
      </c>
      <c r="B301" s="2962" t="s">
        <v>276</v>
      </c>
      <c r="C301" s="2943">
        <v>0.126</v>
      </c>
      <c r="D301" s="2943">
        <v>0.124</v>
      </c>
      <c r="E301" s="2943">
        <v>0.14099999999999999</v>
      </c>
      <c r="F301" s="2943">
        <v>0.14399999999999999</v>
      </c>
      <c r="G301" s="2944">
        <v>0.13</v>
      </c>
    </row>
    <row r="302" spans="1:7">
      <c r="A302" s="2953" t="s">
        <v>306</v>
      </c>
      <c r="B302" s="2942" t="s">
        <v>2946</v>
      </c>
      <c r="C302" s="2943">
        <v>0.15</v>
      </c>
      <c r="D302" s="2943">
        <v>0.15</v>
      </c>
      <c r="E302" s="2943">
        <v>0.15</v>
      </c>
      <c r="F302" s="2943">
        <v>0.14699999999999999</v>
      </c>
      <c r="G302" s="2944">
        <v>0.15</v>
      </c>
    </row>
    <row r="303" spans="1:7">
      <c r="A303" s="2953" t="s">
        <v>306</v>
      </c>
      <c r="B303" s="2942" t="s">
        <v>2953</v>
      </c>
      <c r="C303" s="2943">
        <v>0.15</v>
      </c>
      <c r="D303" s="2943">
        <v>0.15</v>
      </c>
      <c r="E303" s="2943">
        <v>0.15</v>
      </c>
      <c r="F303" s="2943">
        <v>0.14199999999999999</v>
      </c>
      <c r="G303" s="2944">
        <v>0.15</v>
      </c>
    </row>
    <row r="304" spans="1:7">
      <c r="A304" s="2953" t="s">
        <v>306</v>
      </c>
      <c r="B304" s="2942" t="s">
        <v>2960</v>
      </c>
      <c r="C304" s="2943">
        <v>0.15</v>
      </c>
      <c r="D304" s="2943">
        <v>0.15</v>
      </c>
      <c r="E304" s="2943">
        <v>0.15</v>
      </c>
      <c r="F304" s="2943">
        <v>0.14499999999999999</v>
      </c>
      <c r="G304" s="2944">
        <v>0.15</v>
      </c>
    </row>
    <row r="305" spans="1:7">
      <c r="A305" s="2953" t="s">
        <v>306</v>
      </c>
      <c r="B305" s="2942" t="s">
        <v>2966</v>
      </c>
      <c r="C305" s="2943">
        <v>0.15</v>
      </c>
      <c r="D305" s="2943">
        <v>0.15</v>
      </c>
      <c r="E305" s="2943">
        <v>0.15</v>
      </c>
      <c r="F305" s="2943">
        <v>0.111</v>
      </c>
      <c r="G305" s="2944">
        <v>0.15</v>
      </c>
    </row>
    <row r="306" spans="1:7">
      <c r="A306" s="2953" t="s">
        <v>306</v>
      </c>
      <c r="B306" s="2942" t="s">
        <v>2973</v>
      </c>
      <c r="C306" s="2943">
        <v>0.15</v>
      </c>
      <c r="D306" s="2943">
        <v>0.15</v>
      </c>
      <c r="E306" s="2943">
        <v>0.15</v>
      </c>
      <c r="F306" s="2943">
        <v>0.126</v>
      </c>
      <c r="G306" s="2944">
        <v>0.15</v>
      </c>
    </row>
    <row r="307" spans="1:7">
      <c r="A307" s="2953" t="s">
        <v>306</v>
      </c>
      <c r="B307" s="2942" t="s">
        <v>2978</v>
      </c>
      <c r="C307" s="2943">
        <v>0.15</v>
      </c>
      <c r="D307" s="2943">
        <v>0.15</v>
      </c>
      <c r="E307" s="2943">
        <v>0.15</v>
      </c>
      <c r="F307" s="2943">
        <v>0.12</v>
      </c>
      <c r="G307" s="2944">
        <v>0.15</v>
      </c>
    </row>
    <row r="308" spans="1:7">
      <c r="A308" s="2953" t="s">
        <v>306</v>
      </c>
      <c r="B308" s="2942" t="s">
        <v>2984</v>
      </c>
      <c r="C308" s="2943">
        <v>0.15</v>
      </c>
      <c r="D308" s="2943">
        <v>0.15</v>
      </c>
      <c r="E308" s="2943">
        <v>0.15</v>
      </c>
      <c r="F308" s="2943">
        <v>0.13</v>
      </c>
      <c r="G308" s="2944">
        <v>0.15</v>
      </c>
    </row>
    <row r="309" spans="1:7">
      <c r="A309" s="2953" t="s">
        <v>306</v>
      </c>
      <c r="B309" s="2942" t="s">
        <v>2988</v>
      </c>
      <c r="C309" s="2943">
        <v>0.15</v>
      </c>
      <c r="D309" s="2943">
        <v>0.15</v>
      </c>
      <c r="E309" s="2943">
        <v>0.15</v>
      </c>
      <c r="F309" s="2943">
        <v>0.14099999999999999</v>
      </c>
      <c r="G309" s="2944">
        <v>0.15</v>
      </c>
    </row>
    <row r="310" spans="1:7">
      <c r="A310" s="2953" t="s">
        <v>306</v>
      </c>
      <c r="B310" s="2942" t="s">
        <v>2993</v>
      </c>
      <c r="C310" s="2943">
        <v>0.15</v>
      </c>
      <c r="D310" s="2943">
        <v>0.15</v>
      </c>
      <c r="E310" s="2943">
        <v>0.15</v>
      </c>
      <c r="F310" s="2943">
        <v>0.15</v>
      </c>
      <c r="G310" s="2944">
        <v>0.15</v>
      </c>
    </row>
    <row r="311" spans="1:7">
      <c r="A311" s="2953" t="s">
        <v>306</v>
      </c>
      <c r="B311" s="2942" t="s">
        <v>2998</v>
      </c>
      <c r="C311" s="2943">
        <v>0.13200000000000001</v>
      </c>
      <c r="D311" s="2943">
        <v>0.13300000000000001</v>
      </c>
      <c r="E311" s="2943">
        <v>0.14499999999999999</v>
      </c>
      <c r="F311" s="2943">
        <v>0.14199999999999999</v>
      </c>
      <c r="G311" s="2944">
        <v>0.14000000000000001</v>
      </c>
    </row>
    <row r="312" spans="1:7">
      <c r="A312" s="2953" t="s">
        <v>306</v>
      </c>
      <c r="B312" s="2942" t="s">
        <v>3003</v>
      </c>
      <c r="C312" s="2943">
        <v>0.13800000000000001</v>
      </c>
      <c r="D312" s="2943">
        <v>0.14000000000000001</v>
      </c>
      <c r="E312" s="2943">
        <v>0.14599999999999999</v>
      </c>
      <c r="F312" s="2943">
        <v>0.14899999999999999</v>
      </c>
      <c r="G312" s="2944">
        <v>0.14199999999999999</v>
      </c>
    </row>
    <row r="313" spans="1:7">
      <c r="A313" s="2953" t="s">
        <v>306</v>
      </c>
      <c r="B313" s="2942" t="s">
        <v>3008</v>
      </c>
      <c r="C313" s="2943">
        <v>0.125</v>
      </c>
      <c r="D313" s="2943">
        <v>0.127</v>
      </c>
      <c r="E313" s="2943">
        <v>0.14399999999999999</v>
      </c>
      <c r="F313" s="2943">
        <v>0.115</v>
      </c>
      <c r="G313" s="2944">
        <v>0.13600000000000001</v>
      </c>
    </row>
    <row r="314" spans="1:7">
      <c r="A314" s="2953" t="s">
        <v>306</v>
      </c>
      <c r="B314" s="2942" t="s">
        <v>3217</v>
      </c>
      <c r="C314" s="2959"/>
      <c r="D314" s="2959"/>
      <c r="E314" s="2959"/>
      <c r="F314" s="2943">
        <v>0.05</v>
      </c>
      <c r="G314" s="2960"/>
    </row>
    <row r="315" spans="1:7">
      <c r="A315" s="2953" t="s">
        <v>306</v>
      </c>
      <c r="B315" s="2942" t="s">
        <v>3218</v>
      </c>
      <c r="C315" s="2959"/>
      <c r="D315" s="2959"/>
      <c r="E315" s="2959"/>
      <c r="F315" s="2943">
        <v>0.05</v>
      </c>
      <c r="G315" s="2960"/>
    </row>
    <row r="316" spans="1:7">
      <c r="A316" s="2953" t="s">
        <v>306</v>
      </c>
      <c r="B316" s="2942" t="s">
        <v>3219</v>
      </c>
      <c r="C316" s="2954"/>
      <c r="D316" s="2954"/>
      <c r="E316" s="2954"/>
      <c r="F316" s="2943">
        <v>0.05</v>
      </c>
      <c r="G316" s="2960"/>
    </row>
    <row r="317" spans="1:7">
      <c r="A317" s="2953" t="s">
        <v>306</v>
      </c>
      <c r="B317" s="2942" t="s">
        <v>3220</v>
      </c>
      <c r="C317" s="2954"/>
      <c r="D317" s="2954"/>
      <c r="E317" s="2954"/>
      <c r="F317" s="2943">
        <v>0.05</v>
      </c>
      <c r="G317" s="2960"/>
    </row>
    <row r="318" spans="1:7">
      <c r="A318" s="2953" t="s">
        <v>306</v>
      </c>
      <c r="B318" s="2942" t="s">
        <v>3221</v>
      </c>
      <c r="C318" s="2954"/>
      <c r="D318" s="2954"/>
      <c r="E318" s="2954"/>
      <c r="F318" s="2943">
        <v>0.05</v>
      </c>
      <c r="G318" s="2960"/>
    </row>
    <row r="319" spans="1:7">
      <c r="A319" s="2953" t="s">
        <v>306</v>
      </c>
      <c r="B319" s="2942" t="s">
        <v>3222</v>
      </c>
      <c r="C319" s="2954"/>
      <c r="D319" s="2954"/>
      <c r="E319" s="2954"/>
      <c r="F319" s="2943">
        <v>0.05</v>
      </c>
      <c r="G319" s="2960"/>
    </row>
    <row r="320" spans="1:7">
      <c r="A320" s="2953" t="s">
        <v>306</v>
      </c>
      <c r="B320" s="2942" t="s">
        <v>3223</v>
      </c>
      <c r="C320" s="2954"/>
      <c r="D320" s="2954"/>
      <c r="E320" s="2954"/>
      <c r="F320" s="2943">
        <v>0.05</v>
      </c>
      <c r="G320" s="2960"/>
    </row>
    <row r="321" spans="1:7">
      <c r="A321" s="2953" t="s">
        <v>306</v>
      </c>
      <c r="B321" s="2942" t="s">
        <v>3224</v>
      </c>
      <c r="C321" s="2954"/>
      <c r="D321" s="2954"/>
      <c r="E321" s="2954"/>
      <c r="F321" s="2943">
        <v>0.05</v>
      </c>
      <c r="G321" s="2960"/>
    </row>
    <row r="322" spans="1:7">
      <c r="A322" s="2953" t="s">
        <v>306</v>
      </c>
      <c r="B322" s="2942" t="s">
        <v>3225</v>
      </c>
      <c r="C322" s="2954"/>
      <c r="D322" s="2954"/>
      <c r="E322" s="2954"/>
      <c r="F322" s="2943">
        <v>0.05</v>
      </c>
      <c r="G322" s="2960"/>
    </row>
    <row r="323" spans="1:7">
      <c r="A323" s="2953" t="s">
        <v>306</v>
      </c>
      <c r="B323" s="2942" t="s">
        <v>3226</v>
      </c>
      <c r="C323" s="2954"/>
      <c r="D323" s="2954"/>
      <c r="E323" s="2954"/>
      <c r="F323" s="2943">
        <v>0.05</v>
      </c>
      <c r="G323" s="2960"/>
    </row>
    <row r="324" spans="1:7">
      <c r="A324" s="2953" t="s">
        <v>306</v>
      </c>
      <c r="B324" s="2942" t="s">
        <v>3227</v>
      </c>
      <c r="C324" s="2954"/>
      <c r="D324" s="2954"/>
      <c r="E324" s="2954"/>
      <c r="F324" s="2943">
        <v>0.05</v>
      </c>
      <c r="G324" s="2960"/>
    </row>
    <row r="325" spans="1:7">
      <c r="A325" s="2953" t="s">
        <v>306</v>
      </c>
      <c r="B325" s="2942" t="s">
        <v>3228</v>
      </c>
      <c r="C325" s="2954"/>
      <c r="D325" s="2954"/>
      <c r="E325" s="2954"/>
      <c r="F325" s="2943">
        <v>0.05</v>
      </c>
      <c r="G325" s="2960"/>
    </row>
    <row r="326" spans="1:7" ht="14.25" thickBot="1">
      <c r="A326" s="2956" t="s">
        <v>306</v>
      </c>
      <c r="B326" s="2946" t="s">
        <v>3229</v>
      </c>
      <c r="C326" s="2948"/>
      <c r="D326" s="2948"/>
      <c r="E326" s="2948"/>
      <c r="F326" s="2947">
        <v>0.05</v>
      </c>
      <c r="G326" s="2961"/>
    </row>
    <row r="327" spans="1:7">
      <c r="A327" s="2952" t="s">
        <v>307</v>
      </c>
      <c r="B327" s="2938" t="s">
        <v>2861</v>
      </c>
      <c r="C327" s="2939">
        <v>0.15</v>
      </c>
      <c r="D327" s="2939">
        <v>0.15</v>
      </c>
      <c r="E327" s="2939">
        <v>0.15</v>
      </c>
      <c r="F327" s="2939">
        <v>0.15</v>
      </c>
      <c r="G327" s="2940">
        <v>0.15</v>
      </c>
    </row>
    <row r="328" spans="1:7">
      <c r="A328" s="2953" t="s">
        <v>307</v>
      </c>
      <c r="B328" s="2942" t="s">
        <v>136</v>
      </c>
      <c r="C328" s="2943">
        <v>0.15</v>
      </c>
      <c r="D328" s="2943">
        <v>0.15</v>
      </c>
      <c r="E328" s="2943">
        <v>0.15</v>
      </c>
      <c r="F328" s="2943">
        <v>0.126</v>
      </c>
      <c r="G328" s="2944">
        <v>0.15</v>
      </c>
    </row>
    <row r="329" spans="1:7">
      <c r="A329" s="2953" t="s">
        <v>307</v>
      </c>
      <c r="B329" s="2942" t="s">
        <v>2873</v>
      </c>
      <c r="C329" s="2943">
        <v>0.15</v>
      </c>
      <c r="D329" s="2943">
        <v>0.15</v>
      </c>
      <c r="E329" s="2943">
        <v>0.15</v>
      </c>
      <c r="F329" s="2943">
        <v>0.15</v>
      </c>
      <c r="G329" s="2944">
        <v>0.15</v>
      </c>
    </row>
    <row r="330" spans="1:7">
      <c r="A330" s="2953" t="s">
        <v>307</v>
      </c>
      <c r="B330" s="2942" t="s">
        <v>2877</v>
      </c>
      <c r="C330" s="2943">
        <v>0.15</v>
      </c>
      <c r="D330" s="2943">
        <v>0.15</v>
      </c>
      <c r="E330" s="2943">
        <v>0.15</v>
      </c>
      <c r="F330" s="2943">
        <v>0.15</v>
      </c>
      <c r="G330" s="2944">
        <v>0.15</v>
      </c>
    </row>
    <row r="331" spans="1:7">
      <c r="A331" s="2953" t="s">
        <v>307</v>
      </c>
      <c r="B331" s="2942" t="s">
        <v>161</v>
      </c>
      <c r="C331" s="2943">
        <v>0.15</v>
      </c>
      <c r="D331" s="2943">
        <v>0.15</v>
      </c>
      <c r="E331" s="2943">
        <v>0.15</v>
      </c>
      <c r="F331" s="2943">
        <v>0.15</v>
      </c>
      <c r="G331" s="2944">
        <v>0.15</v>
      </c>
    </row>
    <row r="332" spans="1:7">
      <c r="A332" s="2953" t="s">
        <v>307</v>
      </c>
      <c r="B332" s="2942" t="s">
        <v>2885</v>
      </c>
      <c r="C332" s="2943">
        <v>0.15</v>
      </c>
      <c r="D332" s="2943">
        <v>0.15</v>
      </c>
      <c r="E332" s="2943">
        <v>0.15</v>
      </c>
      <c r="F332" s="2943">
        <v>0.15</v>
      </c>
      <c r="G332" s="2944">
        <v>0.15</v>
      </c>
    </row>
    <row r="333" spans="1:7">
      <c r="A333" s="2953" t="s">
        <v>307</v>
      </c>
      <c r="B333" s="2942" t="s">
        <v>2889</v>
      </c>
      <c r="C333" s="2943">
        <v>0.14899999999999999</v>
      </c>
      <c r="D333" s="2943">
        <v>0.14899999999999999</v>
      </c>
      <c r="E333" s="2943">
        <v>0.15</v>
      </c>
      <c r="F333" s="2943">
        <v>0.11600000000000001</v>
      </c>
      <c r="G333" s="2944">
        <v>0.15</v>
      </c>
    </row>
    <row r="334" spans="1:7">
      <c r="A334" s="2953" t="s">
        <v>307</v>
      </c>
      <c r="B334" s="2942" t="s">
        <v>183</v>
      </c>
      <c r="C334" s="2943">
        <v>0.15</v>
      </c>
      <c r="D334" s="2943">
        <v>0.15</v>
      </c>
      <c r="E334" s="2943">
        <v>0.15</v>
      </c>
      <c r="F334" s="2943">
        <v>0.13</v>
      </c>
      <c r="G334" s="2944">
        <v>0.15</v>
      </c>
    </row>
    <row r="335" spans="1:7">
      <c r="A335" s="2953" t="s">
        <v>307</v>
      </c>
      <c r="B335" s="2942" t="s">
        <v>193</v>
      </c>
      <c r="C335" s="2943">
        <v>0.15</v>
      </c>
      <c r="D335" s="2943">
        <v>0.15</v>
      </c>
      <c r="E335" s="2943">
        <v>0.15</v>
      </c>
      <c r="F335" s="2943">
        <v>0.14399999999999999</v>
      </c>
      <c r="G335" s="2944">
        <v>0.15</v>
      </c>
    </row>
    <row r="336" spans="1:7">
      <c r="A336" s="2953" t="s">
        <v>307</v>
      </c>
      <c r="B336" s="2942" t="s">
        <v>2895</v>
      </c>
      <c r="C336" s="2943">
        <v>0.15</v>
      </c>
      <c r="D336" s="2943">
        <v>0.15</v>
      </c>
      <c r="E336" s="2943">
        <v>0.15</v>
      </c>
      <c r="F336" s="2943">
        <v>0.14199999999999999</v>
      </c>
      <c r="G336" s="2944">
        <v>0.15</v>
      </c>
    </row>
    <row r="337" spans="1:7">
      <c r="A337" s="2953" t="s">
        <v>307</v>
      </c>
      <c r="B337" s="2942" t="s">
        <v>2900</v>
      </c>
      <c r="C337" s="2943">
        <v>0.15</v>
      </c>
      <c r="D337" s="2943">
        <v>0.15</v>
      </c>
      <c r="E337" s="2943">
        <v>0.15</v>
      </c>
      <c r="F337" s="2943">
        <v>0.14499999999999999</v>
      </c>
      <c r="G337" s="2944">
        <v>0.15</v>
      </c>
    </row>
    <row r="338" spans="1:7">
      <c r="A338" s="2953" t="s">
        <v>307</v>
      </c>
      <c r="B338" s="2942" t="s">
        <v>220</v>
      </c>
      <c r="C338" s="2943">
        <v>0.15</v>
      </c>
      <c r="D338" s="2943">
        <v>0.15</v>
      </c>
      <c r="E338" s="2943">
        <v>0.15</v>
      </c>
      <c r="F338" s="2943">
        <v>0.15</v>
      </c>
      <c r="G338" s="2944">
        <v>0.15</v>
      </c>
    </row>
    <row r="339" spans="1:7">
      <c r="A339" s="2953" t="s">
        <v>307</v>
      </c>
      <c r="B339" s="2942" t="s">
        <v>228</v>
      </c>
      <c r="C339" s="2943">
        <v>0.15</v>
      </c>
      <c r="D339" s="2943">
        <v>0.15</v>
      </c>
      <c r="E339" s="2943">
        <v>0.15</v>
      </c>
      <c r="F339" s="2943">
        <v>0.14699999999999999</v>
      </c>
      <c r="G339" s="2944">
        <v>0.15</v>
      </c>
    </row>
    <row r="340" spans="1:7">
      <c r="A340" s="2953" t="s">
        <v>307</v>
      </c>
      <c r="B340" s="2942" t="s">
        <v>2907</v>
      </c>
      <c r="C340" s="2943">
        <v>0.14599999999999999</v>
      </c>
      <c r="D340" s="2943">
        <v>0.14599999999999999</v>
      </c>
      <c r="E340" s="2943">
        <v>0.15</v>
      </c>
      <c r="F340" s="2943">
        <v>0.14099999999999999</v>
      </c>
      <c r="G340" s="2944">
        <v>0.14699999999999999</v>
      </c>
    </row>
    <row r="341" spans="1:7">
      <c r="A341" s="2953" t="s">
        <v>307</v>
      </c>
      <c r="B341" s="2942" t="s">
        <v>207</v>
      </c>
      <c r="C341" s="2943">
        <v>0.126</v>
      </c>
      <c r="D341" s="2943">
        <v>0.124</v>
      </c>
      <c r="E341" s="2943">
        <v>0.14099999999999999</v>
      </c>
      <c r="F341" s="2943">
        <v>0.14399999999999999</v>
      </c>
      <c r="G341" s="2944">
        <v>0.13</v>
      </c>
    </row>
    <row r="342" spans="1:7">
      <c r="A342" s="2953" t="s">
        <v>307</v>
      </c>
      <c r="B342" s="2942" t="s">
        <v>2912</v>
      </c>
      <c r="C342" s="2943">
        <v>0.15</v>
      </c>
      <c r="D342" s="2943">
        <v>0.15</v>
      </c>
      <c r="E342" s="2943">
        <v>0.15</v>
      </c>
      <c r="F342" s="2943">
        <v>0.14399999999999999</v>
      </c>
      <c r="G342" s="2944">
        <v>0.15</v>
      </c>
    </row>
    <row r="343" spans="1:7">
      <c r="A343" s="2953" t="s">
        <v>307</v>
      </c>
      <c r="B343" s="2942" t="s">
        <v>257</v>
      </c>
      <c r="C343" s="2943">
        <v>0.15</v>
      </c>
      <c r="D343" s="2943">
        <v>0.15</v>
      </c>
      <c r="E343" s="2943">
        <v>0.15</v>
      </c>
      <c r="F343" s="2943">
        <v>0.128</v>
      </c>
      <c r="G343" s="2944">
        <v>0.15</v>
      </c>
    </row>
    <row r="344" spans="1:7">
      <c r="A344" s="2953" t="s">
        <v>307</v>
      </c>
      <c r="B344" s="2942" t="s">
        <v>265</v>
      </c>
      <c r="C344" s="2943">
        <v>0.15</v>
      </c>
      <c r="D344" s="2943">
        <v>0.15</v>
      </c>
      <c r="E344" s="2943">
        <v>0.15</v>
      </c>
      <c r="F344" s="2943">
        <v>0.14799999999999999</v>
      </c>
      <c r="G344" s="2944">
        <v>0.15</v>
      </c>
    </row>
    <row r="345" spans="1:7">
      <c r="A345" s="2953" t="s">
        <v>307</v>
      </c>
      <c r="B345" s="2942" t="s">
        <v>2920</v>
      </c>
      <c r="C345" s="2943">
        <v>0.15</v>
      </c>
      <c r="D345" s="2943">
        <v>0.15</v>
      </c>
      <c r="E345" s="2943">
        <v>0.15</v>
      </c>
      <c r="F345" s="2943">
        <v>0.13800000000000001</v>
      </c>
      <c r="G345" s="2944">
        <v>0.15</v>
      </c>
    </row>
    <row r="346" spans="1:7">
      <c r="A346" s="2953" t="s">
        <v>307</v>
      </c>
      <c r="B346" s="2942" t="s">
        <v>2922</v>
      </c>
      <c r="C346" s="2943">
        <v>0.15</v>
      </c>
      <c r="D346" s="2943">
        <v>0.15</v>
      </c>
      <c r="E346" s="2943">
        <v>0.15</v>
      </c>
      <c r="F346" s="2943">
        <v>0.14399999999999999</v>
      </c>
      <c r="G346" s="2944">
        <v>0.15</v>
      </c>
    </row>
    <row r="347" spans="1:7">
      <c r="A347" s="2953" t="s">
        <v>307</v>
      </c>
      <c r="B347" s="2942" t="s">
        <v>243</v>
      </c>
      <c r="C347" s="2943">
        <v>0.15</v>
      </c>
      <c r="D347" s="2943">
        <v>0.15</v>
      </c>
      <c r="E347" s="2943">
        <v>0.15</v>
      </c>
      <c r="F347" s="2943">
        <v>0.14599999999999999</v>
      </c>
      <c r="G347" s="2944">
        <v>0.15</v>
      </c>
    </row>
    <row r="348" spans="1:7">
      <c r="A348" s="2953" t="s">
        <v>307</v>
      </c>
      <c r="B348" s="2942" t="s">
        <v>2929</v>
      </c>
      <c r="C348" s="2943">
        <v>0.15</v>
      </c>
      <c r="D348" s="2943">
        <v>0.15</v>
      </c>
      <c r="E348" s="2943">
        <v>0.15</v>
      </c>
      <c r="F348" s="2943">
        <v>0.14399999999999999</v>
      </c>
      <c r="G348" s="2944">
        <v>0.15</v>
      </c>
    </row>
    <row r="349" spans="1:7">
      <c r="A349" s="2953" t="s">
        <v>307</v>
      </c>
      <c r="B349" s="2942" t="s">
        <v>2934</v>
      </c>
      <c r="C349" s="2943">
        <v>0.15</v>
      </c>
      <c r="D349" s="2943">
        <v>0.15</v>
      </c>
      <c r="E349" s="2943">
        <v>0.15</v>
      </c>
      <c r="F349" s="2943">
        <v>0.15</v>
      </c>
      <c r="G349" s="2944">
        <v>0.15</v>
      </c>
    </row>
    <row r="350" spans="1:7">
      <c r="A350" s="2953" t="s">
        <v>307</v>
      </c>
      <c r="B350" s="2942" t="s">
        <v>2937</v>
      </c>
      <c r="C350" s="2943">
        <v>0.15</v>
      </c>
      <c r="D350" s="2943">
        <v>0.15</v>
      </c>
      <c r="E350" s="2943">
        <v>0.15</v>
      </c>
      <c r="F350" s="2943">
        <v>0.14699999999999999</v>
      </c>
      <c r="G350" s="2944">
        <v>0.15</v>
      </c>
    </row>
    <row r="351" spans="1:7">
      <c r="A351" s="2953" t="s">
        <v>307</v>
      </c>
      <c r="B351" s="2942" t="s">
        <v>2942</v>
      </c>
      <c r="C351" s="2943">
        <v>0.15</v>
      </c>
      <c r="D351" s="2943">
        <v>0.15</v>
      </c>
      <c r="E351" s="2943">
        <v>0.15</v>
      </c>
      <c r="F351" s="2943">
        <v>0.13</v>
      </c>
      <c r="G351" s="2944">
        <v>0.15</v>
      </c>
    </row>
    <row r="352" spans="1:7">
      <c r="A352" s="2953" t="s">
        <v>307</v>
      </c>
      <c r="B352" s="2942" t="s">
        <v>2947</v>
      </c>
      <c r="C352" s="2943">
        <v>0.15</v>
      </c>
      <c r="D352" s="2943">
        <v>0.15</v>
      </c>
      <c r="E352" s="2943">
        <v>0.15</v>
      </c>
      <c r="F352" s="2943">
        <v>0.14599999999999999</v>
      </c>
      <c r="G352" s="2944">
        <v>0.15</v>
      </c>
    </row>
    <row r="353" spans="1:7">
      <c r="A353" s="2953" t="s">
        <v>307</v>
      </c>
      <c r="B353" s="2942" t="s">
        <v>2954</v>
      </c>
      <c r="C353" s="2943">
        <v>0.15</v>
      </c>
      <c r="D353" s="2943">
        <v>0.15</v>
      </c>
      <c r="E353" s="2943">
        <v>0.15</v>
      </c>
      <c r="F353" s="2943">
        <v>0.14499999999999999</v>
      </c>
      <c r="G353" s="2944">
        <v>0.15</v>
      </c>
    </row>
    <row r="354" spans="1:7">
      <c r="A354" s="2953" t="s">
        <v>307</v>
      </c>
      <c r="B354" s="2942" t="s">
        <v>280</v>
      </c>
      <c r="C354" s="2943">
        <v>0.15</v>
      </c>
      <c r="D354" s="2943">
        <v>0.15</v>
      </c>
      <c r="E354" s="2943">
        <v>0.15</v>
      </c>
      <c r="F354" s="2943">
        <v>0.14099999999999999</v>
      </c>
      <c r="G354" s="2944">
        <v>0.15</v>
      </c>
    </row>
    <row r="355" spans="1:7">
      <c r="A355" s="2953" t="s">
        <v>307</v>
      </c>
      <c r="B355" s="2942" t="s">
        <v>2967</v>
      </c>
      <c r="C355" s="2943">
        <v>0.15</v>
      </c>
      <c r="D355" s="2943">
        <v>0.15</v>
      </c>
      <c r="E355" s="2943">
        <v>0.15</v>
      </c>
      <c r="F355" s="2943">
        <v>0.15</v>
      </c>
      <c r="G355" s="2944">
        <v>0.15</v>
      </c>
    </row>
    <row r="356" spans="1:7">
      <c r="A356" s="2953" t="s">
        <v>307</v>
      </c>
      <c r="B356" s="2942" t="s">
        <v>2974</v>
      </c>
      <c r="C356" s="2943">
        <v>0.15</v>
      </c>
      <c r="D356" s="2943">
        <v>0.15</v>
      </c>
      <c r="E356" s="2943">
        <v>0.15</v>
      </c>
      <c r="F356" s="2943">
        <v>0.15</v>
      </c>
      <c r="G356" s="2944">
        <v>0.15</v>
      </c>
    </row>
    <row r="357" spans="1:7" ht="14.25" thickBot="1">
      <c r="A357" s="2956" t="s">
        <v>307</v>
      </c>
      <c r="B357" s="2946" t="s">
        <v>2979</v>
      </c>
      <c r="C357" s="2947">
        <v>0.126</v>
      </c>
      <c r="D357" s="2947">
        <v>0.127</v>
      </c>
      <c r="E357" s="2947">
        <v>0.14299999999999999</v>
      </c>
      <c r="F357" s="2947">
        <v>0.125</v>
      </c>
      <c r="G357" s="2949">
        <v>0.129</v>
      </c>
    </row>
    <row r="358" spans="1:7">
      <c r="A358" s="2952" t="s">
        <v>2848</v>
      </c>
      <c r="B358" s="2938" t="s">
        <v>2862</v>
      </c>
      <c r="C358" s="2939">
        <v>0.15</v>
      </c>
      <c r="D358" s="2939">
        <v>0.15</v>
      </c>
      <c r="E358" s="2939">
        <v>0.15</v>
      </c>
      <c r="F358" s="2939">
        <v>0.15</v>
      </c>
      <c r="G358" s="2940">
        <v>0.15</v>
      </c>
    </row>
    <row r="359" spans="1:7">
      <c r="A359" s="2953" t="s">
        <v>2848</v>
      </c>
      <c r="B359" s="2942" t="s">
        <v>2868</v>
      </c>
      <c r="C359" s="2943">
        <v>0.1</v>
      </c>
      <c r="D359" s="2943">
        <v>0.1</v>
      </c>
      <c r="E359" s="2943">
        <v>0.1</v>
      </c>
      <c r="F359" s="2943">
        <v>0.1</v>
      </c>
      <c r="G359" s="2944">
        <v>0.1</v>
      </c>
    </row>
    <row r="360" spans="1:7">
      <c r="A360" s="2953" t="s">
        <v>2848</v>
      </c>
      <c r="B360" s="2942" t="s">
        <v>2874</v>
      </c>
      <c r="C360" s="2943">
        <v>0.15</v>
      </c>
      <c r="D360" s="2943">
        <v>0.15</v>
      </c>
      <c r="E360" s="2943">
        <v>0.15</v>
      </c>
      <c r="F360" s="2943">
        <v>0.14899999999999999</v>
      </c>
      <c r="G360" s="2944">
        <v>0.15</v>
      </c>
    </row>
    <row r="361" spans="1:7">
      <c r="A361" s="2953" t="s">
        <v>2848</v>
      </c>
      <c r="B361" s="2942" t="s">
        <v>153</v>
      </c>
      <c r="C361" s="2943">
        <v>0.15</v>
      </c>
      <c r="D361" s="2943">
        <v>0.15</v>
      </c>
      <c r="E361" s="2943">
        <v>0.15</v>
      </c>
      <c r="F361" s="2943">
        <v>0.115</v>
      </c>
      <c r="G361" s="2944">
        <v>0.15</v>
      </c>
    </row>
    <row r="362" spans="1:7">
      <c r="A362" s="2953" t="s">
        <v>2848</v>
      </c>
      <c r="B362" s="2942" t="s">
        <v>2881</v>
      </c>
      <c r="C362" s="2943">
        <v>0.15</v>
      </c>
      <c r="D362" s="2943">
        <v>0.15</v>
      </c>
      <c r="E362" s="2943">
        <v>0.15</v>
      </c>
      <c r="F362" s="2943">
        <v>0.106</v>
      </c>
      <c r="G362" s="2944">
        <v>0.15</v>
      </c>
    </row>
    <row r="363" spans="1:7">
      <c r="A363" s="2953" t="s">
        <v>2848</v>
      </c>
      <c r="B363" s="2942" t="s">
        <v>2886</v>
      </c>
      <c r="C363" s="2943">
        <v>0.15</v>
      </c>
      <c r="D363" s="2943">
        <v>0.15</v>
      </c>
      <c r="E363" s="2943">
        <v>0.15</v>
      </c>
      <c r="F363" s="2943">
        <v>0.14699999999999999</v>
      </c>
      <c r="G363" s="2944">
        <v>0.15</v>
      </c>
    </row>
    <row r="364" spans="1:7">
      <c r="A364" s="2953" t="s">
        <v>2848</v>
      </c>
      <c r="B364" s="2942" t="s">
        <v>2890</v>
      </c>
      <c r="C364" s="2943">
        <v>0.15</v>
      </c>
      <c r="D364" s="2943">
        <v>0.15</v>
      </c>
      <c r="E364" s="2943">
        <v>0.15</v>
      </c>
      <c r="F364" s="2943">
        <v>0.14799999999999999</v>
      </c>
      <c r="G364" s="2944">
        <v>0.15</v>
      </c>
    </row>
    <row r="365" spans="1:7">
      <c r="A365" s="2953" t="s">
        <v>2848</v>
      </c>
      <c r="B365" s="2942" t="s">
        <v>200</v>
      </c>
      <c r="C365" s="2943">
        <v>0.15</v>
      </c>
      <c r="D365" s="2943">
        <v>0.15</v>
      </c>
      <c r="E365" s="2943">
        <v>0.15</v>
      </c>
      <c r="F365" s="2943">
        <v>0.15</v>
      </c>
      <c r="G365" s="2944">
        <v>0.15</v>
      </c>
    </row>
    <row r="366" spans="1:7">
      <c r="A366" s="2953" t="s">
        <v>2848</v>
      </c>
      <c r="B366" s="2942" t="s">
        <v>2893</v>
      </c>
      <c r="C366" s="2943">
        <v>0.15</v>
      </c>
      <c r="D366" s="2943">
        <v>0.15</v>
      </c>
      <c r="E366" s="2943">
        <v>0.15</v>
      </c>
      <c r="F366" s="2943">
        <v>0.15</v>
      </c>
      <c r="G366" s="2944">
        <v>0.15</v>
      </c>
    </row>
    <row r="367" spans="1:7">
      <c r="A367" s="2953" t="s">
        <v>2848</v>
      </c>
      <c r="B367" s="2942" t="s">
        <v>2896</v>
      </c>
      <c r="C367" s="2943">
        <v>0.15</v>
      </c>
      <c r="D367" s="2943">
        <v>0.15</v>
      </c>
      <c r="E367" s="2943">
        <v>0.15</v>
      </c>
      <c r="F367" s="2943">
        <v>0.14699999999999999</v>
      </c>
      <c r="G367" s="2944">
        <v>0.15</v>
      </c>
    </row>
    <row r="368" spans="1:7">
      <c r="A368" s="2953" t="s">
        <v>2848</v>
      </c>
      <c r="B368" s="2942" t="s">
        <v>2901</v>
      </c>
      <c r="C368" s="2943">
        <v>0.15</v>
      </c>
      <c r="D368" s="2943">
        <v>0.15</v>
      </c>
      <c r="E368" s="2943">
        <v>0.15</v>
      </c>
      <c r="F368" s="2943">
        <v>0.13600000000000001</v>
      </c>
      <c r="G368" s="2944">
        <v>0.15</v>
      </c>
    </row>
    <row r="369" spans="1:7">
      <c r="A369" s="2953" t="s">
        <v>2848</v>
      </c>
      <c r="B369" s="2942" t="s">
        <v>214</v>
      </c>
      <c r="C369" s="2943">
        <v>0.15</v>
      </c>
      <c r="D369" s="2943">
        <v>0.15</v>
      </c>
      <c r="E369" s="2943">
        <v>0.15</v>
      </c>
      <c r="F369" s="2943">
        <v>0.14399999999999999</v>
      </c>
      <c r="G369" s="2944">
        <v>0.15</v>
      </c>
    </row>
    <row r="370" spans="1:7">
      <c r="A370" s="2953" t="s">
        <v>2848</v>
      </c>
      <c r="B370" s="2942" t="s">
        <v>221</v>
      </c>
      <c r="C370" s="2943">
        <v>0.15</v>
      </c>
      <c r="D370" s="2943">
        <v>0.15</v>
      </c>
      <c r="E370" s="2943">
        <v>0.15</v>
      </c>
      <c r="F370" s="2943">
        <v>0.14599999999999999</v>
      </c>
      <c r="G370" s="2944">
        <v>0.15</v>
      </c>
    </row>
    <row r="371" spans="1:7">
      <c r="A371" s="2953" t="s">
        <v>2848</v>
      </c>
      <c r="B371" s="2942" t="s">
        <v>229</v>
      </c>
      <c r="C371" s="2943">
        <v>0.15</v>
      </c>
      <c r="D371" s="2943">
        <v>0.15</v>
      </c>
      <c r="E371" s="2943">
        <v>0.15</v>
      </c>
      <c r="F371" s="2943">
        <v>0.12</v>
      </c>
      <c r="G371" s="2944">
        <v>0.15</v>
      </c>
    </row>
    <row r="372" spans="1:7">
      <c r="A372" s="2953" t="s">
        <v>2848</v>
      </c>
      <c r="B372" s="2942" t="s">
        <v>2909</v>
      </c>
      <c r="C372" s="2943">
        <v>0.15</v>
      </c>
      <c r="D372" s="2943">
        <v>0.15</v>
      </c>
      <c r="E372" s="2943">
        <v>0.15</v>
      </c>
      <c r="F372" s="2943">
        <v>0.14299999999999999</v>
      </c>
      <c r="G372" s="2944">
        <v>0.15</v>
      </c>
    </row>
    <row r="373" spans="1:7">
      <c r="A373" s="2953" t="s">
        <v>2848</v>
      </c>
      <c r="B373" s="2942" t="s">
        <v>258</v>
      </c>
      <c r="C373" s="2943">
        <v>0.15</v>
      </c>
      <c r="D373" s="2943">
        <v>0.15</v>
      </c>
      <c r="E373" s="2943">
        <v>0.15</v>
      </c>
      <c r="F373" s="2943">
        <v>0.14599999999999999</v>
      </c>
      <c r="G373" s="2944">
        <v>0.15</v>
      </c>
    </row>
    <row r="374" spans="1:7">
      <c r="A374" s="2953" t="s">
        <v>2848</v>
      </c>
      <c r="B374" s="2942" t="s">
        <v>266</v>
      </c>
      <c r="C374" s="2943">
        <v>0.15</v>
      </c>
      <c r="D374" s="2943">
        <v>0.15</v>
      </c>
      <c r="E374" s="2943">
        <v>0.15</v>
      </c>
      <c r="F374" s="2943">
        <v>0.14399999999999999</v>
      </c>
      <c r="G374" s="2944">
        <v>0.15</v>
      </c>
    </row>
    <row r="375" spans="1:7">
      <c r="A375" s="2953" t="s">
        <v>2848</v>
      </c>
      <c r="B375" s="2942" t="s">
        <v>2917</v>
      </c>
      <c r="C375" s="2943">
        <v>0.15</v>
      </c>
      <c r="D375" s="2943">
        <v>0.15</v>
      </c>
      <c r="E375" s="2943">
        <v>0.15</v>
      </c>
      <c r="F375" s="2943">
        <v>0.13</v>
      </c>
      <c r="G375" s="2944">
        <v>0.15</v>
      </c>
    </row>
    <row r="376" spans="1:7">
      <c r="A376" s="2953" t="s">
        <v>2848</v>
      </c>
      <c r="B376" s="2942" t="s">
        <v>277</v>
      </c>
      <c r="C376" s="2943">
        <v>0.15</v>
      </c>
      <c r="D376" s="2943">
        <v>0.15</v>
      </c>
      <c r="E376" s="2943">
        <v>0.15</v>
      </c>
      <c r="F376" s="2943">
        <v>0.14199999999999999</v>
      </c>
      <c r="G376" s="2944">
        <v>0.15</v>
      </c>
    </row>
    <row r="377" spans="1:7" ht="14.25" thickBot="1">
      <c r="A377" s="2956" t="s">
        <v>2848</v>
      </c>
      <c r="B377" s="2946" t="s">
        <v>2923</v>
      </c>
      <c r="C377" s="2947">
        <v>0.15</v>
      </c>
      <c r="D377" s="2947">
        <v>0.15</v>
      </c>
      <c r="E377" s="2947">
        <v>0.15</v>
      </c>
      <c r="F377" s="2947">
        <v>0.14000000000000001</v>
      </c>
      <c r="G377" s="2949">
        <v>0.15</v>
      </c>
    </row>
    <row r="378" spans="1:7">
      <c r="A378" s="2952" t="s">
        <v>2849</v>
      </c>
      <c r="B378" s="2938" t="s">
        <v>2863</v>
      </c>
      <c r="C378" s="2939">
        <v>0.15</v>
      </c>
      <c r="D378" s="2939">
        <v>0.15</v>
      </c>
      <c r="E378" s="2939">
        <v>0.15</v>
      </c>
      <c r="F378" s="2939">
        <v>0.107</v>
      </c>
      <c r="G378" s="2940">
        <v>0.15</v>
      </c>
    </row>
    <row r="379" spans="1:7">
      <c r="A379" s="2953" t="s">
        <v>2849</v>
      </c>
      <c r="B379" s="2942" t="s">
        <v>2869</v>
      </c>
      <c r="C379" s="2943">
        <v>0.15</v>
      </c>
      <c r="D379" s="2943">
        <v>0.15</v>
      </c>
      <c r="E379" s="2943">
        <v>0.15</v>
      </c>
      <c r="F379" s="2943">
        <v>0.115</v>
      </c>
      <c r="G379" s="2944">
        <v>0.14899999999999999</v>
      </c>
    </row>
    <row r="380" spans="1:7">
      <c r="A380" s="2953" t="s">
        <v>2849</v>
      </c>
      <c r="B380" s="2942" t="s">
        <v>2875</v>
      </c>
      <c r="C380" s="2943">
        <v>0.15</v>
      </c>
      <c r="D380" s="2943">
        <v>0.15</v>
      </c>
      <c r="E380" s="2943">
        <v>0.15</v>
      </c>
      <c r="F380" s="2943">
        <v>0.1</v>
      </c>
      <c r="G380" s="2944">
        <v>0.14799999999999999</v>
      </c>
    </row>
    <row r="381" spans="1:7">
      <c r="A381" s="2953" t="s">
        <v>2849</v>
      </c>
      <c r="B381" s="2942" t="s">
        <v>2878</v>
      </c>
      <c r="C381" s="2943">
        <v>0.15</v>
      </c>
      <c r="D381" s="2943">
        <v>0.15</v>
      </c>
      <c r="E381" s="2943">
        <v>0.15</v>
      </c>
      <c r="F381" s="2943">
        <v>0.126</v>
      </c>
      <c r="G381" s="2944">
        <v>0.15</v>
      </c>
    </row>
    <row r="382" spans="1:7">
      <c r="A382" s="2953" t="s">
        <v>2849</v>
      </c>
      <c r="B382" s="2942" t="s">
        <v>2882</v>
      </c>
      <c r="C382" s="2943">
        <v>0.15</v>
      </c>
      <c r="D382" s="2943">
        <v>0.15</v>
      </c>
      <c r="E382" s="2943">
        <v>0.15</v>
      </c>
      <c r="F382" s="2943">
        <v>0.15</v>
      </c>
      <c r="G382" s="2944">
        <v>0.15</v>
      </c>
    </row>
    <row r="383" spans="1:7">
      <c r="A383" s="2953" t="s">
        <v>2849</v>
      </c>
      <c r="B383" s="2942" t="s">
        <v>2887</v>
      </c>
      <c r="C383" s="2943">
        <v>0.15</v>
      </c>
      <c r="D383" s="2943">
        <v>0.15</v>
      </c>
      <c r="E383" s="2943">
        <v>0.15</v>
      </c>
      <c r="F383" s="2943">
        <v>0.14699999999999999</v>
      </c>
      <c r="G383" s="2944">
        <v>0.15</v>
      </c>
    </row>
    <row r="384" spans="1:7" ht="14.25" thickBot="1">
      <c r="A384" s="2963" t="s">
        <v>2849</v>
      </c>
      <c r="B384" s="2964" t="s">
        <v>2891</v>
      </c>
      <c r="C384" s="2965">
        <v>0.15</v>
      </c>
      <c r="D384" s="2965">
        <v>0.15</v>
      </c>
      <c r="E384" s="2965">
        <v>0.15</v>
      </c>
      <c r="F384" s="2965">
        <v>0.15</v>
      </c>
      <c r="G384" s="296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29" t="s">
        <v>3230</v>
      </c>
      <c r="B1" s="3529"/>
      <c r="C1" s="3529"/>
      <c r="D1" s="3529"/>
      <c r="E1" s="3529"/>
      <c r="F1" s="3530"/>
    </row>
    <row r="2" spans="1:6">
      <c r="A2" s="2967" t="s">
        <v>3231</v>
      </c>
    </row>
    <row r="3" spans="1:6">
      <c r="A3" s="2967" t="s">
        <v>3232</v>
      </c>
      <c r="F3" s="2968" t="s">
        <v>3233</v>
      </c>
    </row>
    <row r="4" spans="1:6">
      <c r="A4" s="2969" t="s">
        <v>672</v>
      </c>
      <c r="B4" s="2969" t="s">
        <v>673</v>
      </c>
      <c r="C4" s="2969" t="s">
        <v>21</v>
      </c>
      <c r="D4" s="2969" t="s">
        <v>674</v>
      </c>
      <c r="E4" s="2969" t="s">
        <v>3</v>
      </c>
      <c r="F4" s="2969" t="s">
        <v>3234</v>
      </c>
    </row>
    <row r="5" spans="1:6">
      <c r="A5" s="2970" t="s">
        <v>675</v>
      </c>
      <c r="B5" s="2969"/>
      <c r="C5" s="2969"/>
      <c r="D5" s="2969"/>
      <c r="E5" s="2969"/>
      <c r="F5" s="2971"/>
    </row>
    <row r="6" spans="1:6">
      <c r="A6" s="2970" t="s">
        <v>144</v>
      </c>
      <c r="B6" s="2972">
        <v>35380</v>
      </c>
      <c r="C6" s="2972">
        <v>35180</v>
      </c>
      <c r="D6" s="2972">
        <v>35030</v>
      </c>
      <c r="E6" s="2972">
        <v>13780</v>
      </c>
      <c r="F6" s="2972">
        <v>25980</v>
      </c>
    </row>
    <row r="7" spans="1:6">
      <c r="A7" s="2970" t="s">
        <v>184</v>
      </c>
      <c r="B7" s="2972">
        <v>29960</v>
      </c>
      <c r="C7" s="2972">
        <v>29800</v>
      </c>
      <c r="D7" s="2972">
        <v>29690</v>
      </c>
      <c r="E7" s="2972">
        <v>10100</v>
      </c>
      <c r="F7" s="2972">
        <v>21690</v>
      </c>
    </row>
    <row r="8" spans="1:6">
      <c r="A8" s="2970" t="s">
        <v>296</v>
      </c>
      <c r="B8" s="2972">
        <v>24480</v>
      </c>
      <c r="C8" s="2972">
        <v>24380</v>
      </c>
      <c r="D8" s="2972">
        <v>25590</v>
      </c>
      <c r="E8" s="2972">
        <v>7010</v>
      </c>
      <c r="F8" s="2972">
        <v>17060</v>
      </c>
    </row>
    <row r="9" spans="1:6">
      <c r="A9" s="2970" t="s">
        <v>110</v>
      </c>
      <c r="B9" s="2972">
        <v>19370</v>
      </c>
      <c r="C9" s="2972">
        <v>19290</v>
      </c>
      <c r="D9" s="2972">
        <v>21280</v>
      </c>
      <c r="E9" s="2972">
        <v>4910</v>
      </c>
      <c r="F9" s="2972">
        <v>13090</v>
      </c>
    </row>
    <row r="10" spans="1:6">
      <c r="A10" s="2970" t="s">
        <v>303</v>
      </c>
      <c r="B10" s="2972">
        <v>15050</v>
      </c>
      <c r="C10" s="2972">
        <v>14980</v>
      </c>
      <c r="D10" s="2972">
        <v>17300</v>
      </c>
      <c r="E10" s="2972">
        <v>3450</v>
      </c>
      <c r="F10" s="2972">
        <v>9900</v>
      </c>
    </row>
    <row r="11" spans="1:6">
      <c r="A11" s="2970" t="s">
        <v>29</v>
      </c>
      <c r="B11" s="2972">
        <v>11550</v>
      </c>
      <c r="C11" s="2972">
        <v>11490</v>
      </c>
      <c r="D11" s="2972">
        <v>13850</v>
      </c>
      <c r="E11" s="2972">
        <v>2400</v>
      </c>
      <c r="F11" s="2972">
        <v>7390</v>
      </c>
    </row>
    <row r="12" spans="1:6">
      <c r="A12" s="2970" t="s">
        <v>304</v>
      </c>
      <c r="B12" s="2972">
        <v>8630</v>
      </c>
      <c r="C12" s="2972">
        <v>8580</v>
      </c>
      <c r="D12" s="2972">
        <v>10740</v>
      </c>
      <c r="E12" s="2972">
        <v>1720</v>
      </c>
      <c r="F12" s="2972">
        <v>5420</v>
      </c>
    </row>
    <row r="13" spans="1:6">
      <c r="A13" s="2970" t="s">
        <v>305</v>
      </c>
      <c r="B13" s="2972">
        <v>6620</v>
      </c>
      <c r="C13" s="2972">
        <v>6580</v>
      </c>
      <c r="D13" s="2972">
        <v>7830</v>
      </c>
      <c r="E13" s="2972">
        <v>1260</v>
      </c>
      <c r="F13" s="2972">
        <v>4040</v>
      </c>
    </row>
    <row r="14" spans="1:6">
      <c r="A14" s="2970" t="s">
        <v>306</v>
      </c>
      <c r="B14" s="2972">
        <v>4900</v>
      </c>
      <c r="C14" s="2972">
        <v>4860</v>
      </c>
      <c r="D14" s="2972">
        <v>5540</v>
      </c>
      <c r="E14" s="2972">
        <v>950</v>
      </c>
      <c r="F14" s="2972">
        <v>2930</v>
      </c>
    </row>
    <row r="15" spans="1:6">
      <c r="A15" s="2970" t="s">
        <v>307</v>
      </c>
      <c r="B15" s="2972">
        <v>3380</v>
      </c>
      <c r="C15" s="2972">
        <v>3340</v>
      </c>
      <c r="D15" s="2972">
        <v>3630</v>
      </c>
      <c r="E15" s="2972">
        <v>730</v>
      </c>
      <c r="F15" s="2972">
        <v>1990</v>
      </c>
    </row>
    <row r="16" spans="1:6">
      <c r="A16" s="2970" t="s">
        <v>369</v>
      </c>
      <c r="B16" s="2972">
        <v>2230</v>
      </c>
      <c r="C16" s="2972">
        <v>2200</v>
      </c>
      <c r="D16" s="2972">
        <v>2180</v>
      </c>
      <c r="E16" s="2972">
        <v>570</v>
      </c>
      <c r="F16" s="2972">
        <v>1330</v>
      </c>
    </row>
    <row r="17" spans="1:6">
      <c r="A17" s="2970" t="s">
        <v>370</v>
      </c>
      <c r="B17" s="2972">
        <v>1390</v>
      </c>
      <c r="C17" s="2972">
        <v>1360</v>
      </c>
      <c r="D17" s="2972">
        <v>1340</v>
      </c>
      <c r="E17" s="2972">
        <v>450</v>
      </c>
      <c r="F17" s="297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31">
        <f>基准地价修正!G23</f>
        <v>45635</v>
      </c>
      <c r="B1" s="2923" t="s">
        <v>3380</v>
      </c>
      <c r="C1" s="2924"/>
      <c r="D1" s="2924"/>
      <c r="E1" s="2924"/>
      <c r="F1" s="2924"/>
      <c r="G1" s="2924"/>
      <c r="H1" s="2924"/>
      <c r="I1" s="2924"/>
      <c r="J1" s="2890"/>
      <c r="K1" s="2924" t="s">
        <v>454</v>
      </c>
      <c r="L1" s="2924"/>
      <c r="M1" s="2924"/>
      <c r="N1" s="2924"/>
      <c r="O1" s="2924"/>
      <c r="P1" s="2924"/>
      <c r="Q1" s="2890"/>
      <c r="R1" s="3531" t="s">
        <v>456</v>
      </c>
      <c r="S1" s="3532"/>
      <c r="T1" s="3532"/>
      <c r="U1" s="3532"/>
      <c r="V1" s="3532"/>
      <c r="W1" s="3532"/>
      <c r="X1" s="2890"/>
      <c r="Y1" s="3531" t="s">
        <v>457</v>
      </c>
      <c r="Z1" s="3532"/>
      <c r="AA1" s="3532"/>
      <c r="AB1" s="3532"/>
      <c r="AC1" s="3532"/>
      <c r="AD1" s="3532"/>
    </row>
    <row r="2" spans="1:30" s="2006" customFormat="1" ht="14.25" thickBot="1">
      <c r="B2" s="2875"/>
      <c r="C2" s="2876"/>
      <c r="D2" s="2007" t="s">
        <v>2808</v>
      </c>
      <c r="E2" s="2008" t="s">
        <v>2809</v>
      </c>
      <c r="F2" s="2008" t="s">
        <v>2810</v>
      </c>
      <c r="G2" s="2008" t="s">
        <v>2811</v>
      </c>
      <c r="H2" s="2008" t="s">
        <v>2812</v>
      </c>
      <c r="I2" s="2008" t="s">
        <v>2629</v>
      </c>
      <c r="J2" s="2877"/>
      <c r="K2" s="2007" t="s">
        <v>2808</v>
      </c>
      <c r="L2" s="2008" t="s">
        <v>2809</v>
      </c>
      <c r="M2" s="2008" t="s">
        <v>2810</v>
      </c>
      <c r="N2" s="2008" t="s">
        <v>2811</v>
      </c>
      <c r="O2" s="2008" t="s">
        <v>2813</v>
      </c>
      <c r="P2" s="2008" t="s">
        <v>2629</v>
      </c>
      <c r="Q2" s="2877"/>
      <c r="R2" s="2007" t="s">
        <v>2808</v>
      </c>
      <c r="S2" s="2008" t="s">
        <v>2809</v>
      </c>
      <c r="T2" s="2008" t="s">
        <v>2810</v>
      </c>
      <c r="U2" s="2008" t="s">
        <v>2814</v>
      </c>
      <c r="V2" s="2008" t="s">
        <v>2815</v>
      </c>
      <c r="W2" s="2008" t="s">
        <v>2629</v>
      </c>
      <c r="X2" s="2877"/>
      <c r="Y2" s="2007" t="s">
        <v>2808</v>
      </c>
      <c r="Z2" s="2008" t="s">
        <v>2809</v>
      </c>
      <c r="AA2" s="2008" t="s">
        <v>2810</v>
      </c>
      <c r="AB2" s="2008" t="s">
        <v>2816</v>
      </c>
      <c r="AC2" s="2008" t="s">
        <v>2815</v>
      </c>
      <c r="AD2" s="2008" t="s">
        <v>2629</v>
      </c>
    </row>
    <row r="3" spans="1:30" s="2880" customFormat="1" ht="12.75">
      <c r="A3" s="2878" t="s">
        <v>2817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5" customFormat="1" ht="12.75">
      <c r="B4" s="2021"/>
      <c r="J4" s="2890"/>
      <c r="K4" s="2891"/>
      <c r="L4" s="2892"/>
      <c r="M4" s="2892"/>
      <c r="N4" s="2892"/>
      <c r="O4" s="2892"/>
      <c r="P4" s="2892"/>
      <c r="Q4" s="2890"/>
      <c r="R4" s="2023"/>
      <c r="S4" s="2893"/>
      <c r="T4" s="2894"/>
      <c r="U4" s="2023"/>
      <c r="V4" s="2895"/>
      <c r="W4" s="2023"/>
      <c r="X4" s="2890"/>
      <c r="Y4" s="2024"/>
      <c r="Z4" s="2896"/>
      <c r="AA4" s="2897"/>
      <c r="AB4" s="2024"/>
      <c r="AC4" s="2898"/>
      <c r="AD4" s="2024"/>
    </row>
    <row r="5" spans="1:30" s="2041" customFormat="1" ht="12.75">
      <c r="A5" s="2036" t="s">
        <v>3376</v>
      </c>
      <c r="B5" s="2027">
        <v>2025</v>
      </c>
      <c r="C5" s="2038">
        <v>1</v>
      </c>
      <c r="D5" s="2003">
        <v>0</v>
      </c>
      <c r="E5" s="2003">
        <v>0</v>
      </c>
      <c r="F5" s="2003">
        <v>0</v>
      </c>
      <c r="G5" s="2003">
        <v>0</v>
      </c>
      <c r="H5" s="2003">
        <v>0</v>
      </c>
      <c r="I5" s="2004">
        <f t="shared" ref="I5" si="4">F5</f>
        <v>0</v>
      </c>
      <c r="J5" s="2900"/>
      <c r="K5" s="2039">
        <f t="shared" ref="K5" si="5">D5/100</f>
        <v>0</v>
      </c>
      <c r="L5" s="2024">
        <f t="shared" ref="L5" si="6">E5/100</f>
        <v>0</v>
      </c>
      <c r="M5" s="2024">
        <f t="shared" ref="M5" si="7">F5/100</f>
        <v>0</v>
      </c>
      <c r="N5" s="2024">
        <f t="shared" ref="N5" si="8">G5/100</f>
        <v>0</v>
      </c>
      <c r="O5" s="2024">
        <f t="shared" ref="O5" si="9">H5/100</f>
        <v>0</v>
      </c>
      <c r="P5" s="2024">
        <f>M5</f>
        <v>0</v>
      </c>
      <c r="Q5" s="2900"/>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0"/>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0" customFormat="1" ht="12.75">
      <c r="A6" s="2901" t="s">
        <v>3385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1" customFormat="1" ht="12.75">
      <c r="A7" s="2036" t="s">
        <v>3384</v>
      </c>
      <c r="B7" s="2027">
        <v>2024</v>
      </c>
      <c r="C7" s="2038">
        <v>3</v>
      </c>
      <c r="D7" s="2003">
        <v>-1.19</v>
      </c>
      <c r="E7" s="2003">
        <v>-0.47</v>
      </c>
      <c r="F7" s="2003">
        <v>-0.28999999999999998</v>
      </c>
      <c r="G7" s="2003">
        <v>-0.74</v>
      </c>
      <c r="H7" s="2003">
        <v>-0.21</v>
      </c>
      <c r="I7" s="2004">
        <f t="shared" ref="I7" si="26">F7</f>
        <v>-0.28999999999999998</v>
      </c>
      <c r="J7" s="2900"/>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0"/>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0"/>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9" t="s">
        <v>3377</v>
      </c>
      <c r="B8" s="2027">
        <v>2024</v>
      </c>
      <c r="C8" s="2038">
        <v>2</v>
      </c>
      <c r="D8" s="2003">
        <v>-0.59</v>
      </c>
      <c r="E8" s="2003">
        <v>-0.21</v>
      </c>
      <c r="F8" s="2003">
        <v>-1.38</v>
      </c>
      <c r="G8" s="2003">
        <v>-1.24</v>
      </c>
      <c r="H8" s="2911">
        <v>0.34</v>
      </c>
      <c r="I8" s="2004">
        <f t="shared" ref="I8:I21" si="37">F8</f>
        <v>-1.38</v>
      </c>
      <c r="J8" s="2900"/>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0"/>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0"/>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9" t="s">
        <v>3373</v>
      </c>
      <c r="B9" s="2027">
        <v>2024</v>
      </c>
      <c r="C9" s="2038">
        <v>1</v>
      </c>
      <c r="D9" s="2003">
        <v>0.08</v>
      </c>
      <c r="E9" s="2003">
        <v>0.46</v>
      </c>
      <c r="F9" s="2003">
        <v>-0.16</v>
      </c>
      <c r="G9" s="2003">
        <v>0.26</v>
      </c>
      <c r="H9" s="2911">
        <v>0.59</v>
      </c>
      <c r="I9" s="2004">
        <v>0</v>
      </c>
      <c r="J9" s="2900"/>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0"/>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0"/>
      <c r="Y9" s="2024"/>
      <c r="Z9" s="2024"/>
      <c r="AA9" s="2024"/>
      <c r="AB9" s="2024"/>
      <c r="AC9" s="2024"/>
      <c r="AD9" s="2024"/>
    </row>
    <row r="10" spans="1:30" s="2041" customFormat="1" ht="12.75">
      <c r="A10" s="2899" t="s">
        <v>3369</v>
      </c>
      <c r="B10" s="2027">
        <v>2023</v>
      </c>
      <c r="C10" s="2038">
        <v>4</v>
      </c>
      <c r="D10" s="2003">
        <v>0.19</v>
      </c>
      <c r="E10" s="2003">
        <v>0.24</v>
      </c>
      <c r="F10" s="2003">
        <v>-0.16</v>
      </c>
      <c r="G10" s="2003">
        <v>0.17</v>
      </c>
      <c r="H10" s="2911">
        <v>0.61</v>
      </c>
      <c r="I10" s="2004">
        <f>F10</f>
        <v>-0.16</v>
      </c>
      <c r="J10" s="2900"/>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0"/>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0"/>
      <c r="Y10" s="2024"/>
      <c r="Z10" s="2024"/>
      <c r="AA10" s="2024"/>
      <c r="AB10" s="2024"/>
      <c r="AC10" s="2024"/>
      <c r="AD10" s="2024"/>
    </row>
    <row r="11" spans="1:30" s="2041" customFormat="1" ht="12.75">
      <c r="A11" s="2899" t="s">
        <v>3368</v>
      </c>
      <c r="B11" s="2027">
        <v>2023</v>
      </c>
      <c r="C11" s="2038">
        <v>3</v>
      </c>
      <c r="D11" s="2003">
        <v>0.25</v>
      </c>
      <c r="E11" s="2003">
        <v>0.5</v>
      </c>
      <c r="F11" s="2003">
        <v>0.31</v>
      </c>
      <c r="G11" s="2003">
        <v>0.21</v>
      </c>
      <c r="H11" s="2911">
        <v>0.43</v>
      </c>
      <c r="I11" s="2004">
        <f t="shared" si="37"/>
        <v>0.31</v>
      </c>
      <c r="J11" s="2900"/>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0"/>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0"/>
      <c r="Y11" s="2024"/>
      <c r="Z11" s="2024"/>
      <c r="AA11" s="2024"/>
      <c r="AB11" s="2024"/>
      <c r="AC11" s="2024"/>
      <c r="AD11" s="2024"/>
    </row>
    <row r="12" spans="1:30" s="2041" customFormat="1" ht="12.75">
      <c r="A12" s="2899" t="s">
        <v>3366</v>
      </c>
      <c r="B12" s="2027">
        <v>2023</v>
      </c>
      <c r="C12" s="2038">
        <v>2</v>
      </c>
      <c r="D12" s="2003">
        <v>0.91</v>
      </c>
      <c r="E12" s="2003">
        <v>0.66</v>
      </c>
      <c r="F12" s="2003">
        <v>0.47</v>
      </c>
      <c r="G12" s="2003">
        <v>0.96</v>
      </c>
      <c r="H12" s="2911">
        <v>0.71</v>
      </c>
      <c r="I12" s="2004">
        <f t="shared" si="37"/>
        <v>0.47</v>
      </c>
      <c r="J12" s="2900"/>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0"/>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0"/>
      <c r="Y12" s="2024"/>
      <c r="Z12" s="2024"/>
      <c r="AA12" s="2024"/>
      <c r="AB12" s="2024"/>
      <c r="AC12" s="2024"/>
      <c r="AD12" s="2024"/>
    </row>
    <row r="13" spans="1:30" s="2041" customFormat="1" ht="12.75">
      <c r="A13" s="2899" t="s">
        <v>3365</v>
      </c>
      <c r="B13" s="2027">
        <v>2023</v>
      </c>
      <c r="C13" s="2038">
        <v>1</v>
      </c>
      <c r="D13" s="2003">
        <v>0.89</v>
      </c>
      <c r="E13" s="2003">
        <v>0.74</v>
      </c>
      <c r="F13" s="2003">
        <v>0.56999999999999995</v>
      </c>
      <c r="G13" s="2003">
        <v>0.92</v>
      </c>
      <c r="H13" s="2911">
        <v>0.5</v>
      </c>
      <c r="I13" s="2004">
        <f t="shared" si="37"/>
        <v>0.56999999999999995</v>
      </c>
      <c r="J13" s="2900"/>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0"/>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0"/>
      <c r="Y13" s="2024"/>
      <c r="Z13" s="2024"/>
      <c r="AA13" s="2024"/>
      <c r="AB13" s="2024"/>
      <c r="AC13" s="2024"/>
      <c r="AD13" s="2024"/>
    </row>
    <row r="14" spans="1:30" s="2041" customFormat="1" ht="12.75">
      <c r="A14" s="2899" t="s">
        <v>3364</v>
      </c>
      <c r="B14" s="2027">
        <v>2022</v>
      </c>
      <c r="C14" s="2038">
        <v>4</v>
      </c>
      <c r="D14" s="2003">
        <v>0.62</v>
      </c>
      <c r="E14" s="2003">
        <v>0.2</v>
      </c>
      <c r="F14" s="2003">
        <v>0.11</v>
      </c>
      <c r="G14" s="2003">
        <v>0.69</v>
      </c>
      <c r="H14" s="2911">
        <v>0.53</v>
      </c>
      <c r="I14" s="2004">
        <f t="shared" si="37"/>
        <v>0.11</v>
      </c>
      <c r="J14" s="2900"/>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0"/>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0"/>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9" t="s">
        <v>3362</v>
      </c>
      <c r="B15" s="2027">
        <v>2022</v>
      </c>
      <c r="C15" s="2038">
        <v>3</v>
      </c>
      <c r="D15" s="2003">
        <v>0.66</v>
      </c>
      <c r="E15" s="2003">
        <v>0.32</v>
      </c>
      <c r="F15" s="2003">
        <v>0.23</v>
      </c>
      <c r="G15" s="2003">
        <v>0.72</v>
      </c>
      <c r="H15" s="2911">
        <v>0.63</v>
      </c>
      <c r="I15" s="2004">
        <f t="shared" si="37"/>
        <v>0.23</v>
      </c>
      <c r="J15" s="2900"/>
      <c r="K15" s="2039">
        <f t="shared" si="38"/>
        <v>6.6E-3</v>
      </c>
      <c r="L15" s="2024">
        <f t="shared" si="38"/>
        <v>3.2000000000000002E-3</v>
      </c>
      <c r="M15" s="2024">
        <f t="shared" si="38"/>
        <v>2.3E-3</v>
      </c>
      <c r="N15" s="2024">
        <f t="shared" si="38"/>
        <v>7.1999999999999998E-3</v>
      </c>
      <c r="O15" s="2024">
        <f t="shared" si="38"/>
        <v>6.3E-3</v>
      </c>
      <c r="P15" s="2024">
        <f t="shared" si="58"/>
        <v>2.3E-3</v>
      </c>
      <c r="Q15" s="2900"/>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0"/>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9" t="s">
        <v>3353</v>
      </c>
      <c r="B16" s="2027">
        <v>2022</v>
      </c>
      <c r="C16" s="2038">
        <v>2</v>
      </c>
      <c r="D16" s="2003">
        <v>0.93</v>
      </c>
      <c r="E16" s="2003">
        <v>0.15</v>
      </c>
      <c r="F16" s="2003">
        <v>0.01</v>
      </c>
      <c r="G16" s="2003">
        <v>1.05</v>
      </c>
      <c r="H16" s="2911">
        <v>1.08</v>
      </c>
      <c r="I16" s="2004">
        <f t="shared" si="37"/>
        <v>0.01</v>
      </c>
      <c r="J16" s="2900"/>
      <c r="K16" s="2039">
        <f t="shared" si="38"/>
        <v>9.300000000000001E-3</v>
      </c>
      <c r="L16" s="2024">
        <f t="shared" si="38"/>
        <v>1.5E-3</v>
      </c>
      <c r="M16" s="2024">
        <f t="shared" si="38"/>
        <v>1E-4</v>
      </c>
      <c r="N16" s="2024">
        <f t="shared" si="38"/>
        <v>1.0500000000000001E-2</v>
      </c>
      <c r="O16" s="2024">
        <f t="shared" si="38"/>
        <v>1.0800000000000001E-2</v>
      </c>
      <c r="P16" s="2024">
        <f t="shared" si="58"/>
        <v>1E-4</v>
      </c>
      <c r="Q16" s="2900"/>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0"/>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9" t="s">
        <v>2818</v>
      </c>
      <c r="B17" s="2027">
        <v>2022</v>
      </c>
      <c r="C17" s="2038">
        <v>1</v>
      </c>
      <c r="D17" s="2003">
        <v>0.89</v>
      </c>
      <c r="E17" s="2003">
        <v>0.44</v>
      </c>
      <c r="F17" s="2003">
        <v>0.37</v>
      </c>
      <c r="G17" s="2003">
        <v>0.96</v>
      </c>
      <c r="H17" s="2911">
        <v>0.64</v>
      </c>
      <c r="I17" s="2004">
        <f t="shared" si="37"/>
        <v>0.37</v>
      </c>
      <c r="J17" s="2900"/>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0"/>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0"/>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9" t="s">
        <v>2819</v>
      </c>
      <c r="B18" s="2027">
        <v>2021</v>
      </c>
      <c r="C18" s="2038">
        <v>4</v>
      </c>
      <c r="D18" s="2003">
        <v>1.03</v>
      </c>
      <c r="E18" s="2003">
        <v>0.24</v>
      </c>
      <c r="F18" s="2003">
        <v>7.0000000000000007E-2</v>
      </c>
      <c r="G18" s="2003">
        <v>1.17</v>
      </c>
      <c r="H18" s="2911">
        <v>0.55000000000000004</v>
      </c>
      <c r="I18" s="2004">
        <f t="shared" si="37"/>
        <v>7.0000000000000007E-2</v>
      </c>
      <c r="J18" s="2900"/>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0"/>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0"/>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9" t="s">
        <v>2820</v>
      </c>
      <c r="B19" s="2027">
        <v>2021</v>
      </c>
      <c r="C19" s="2038">
        <v>3</v>
      </c>
      <c r="D19" s="2003">
        <v>0.47</v>
      </c>
      <c r="E19" s="2003">
        <v>0.41</v>
      </c>
      <c r="F19" s="2003">
        <v>0.24</v>
      </c>
      <c r="G19" s="2003">
        <v>0.48</v>
      </c>
      <c r="H19" s="2911">
        <v>0.48</v>
      </c>
      <c r="I19" s="2004">
        <f t="shared" si="37"/>
        <v>0.24</v>
      </c>
      <c r="J19" s="2900"/>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0"/>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0"/>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9" t="s">
        <v>2821</v>
      </c>
      <c r="B20" s="2027">
        <v>2021</v>
      </c>
      <c r="C20" s="2038">
        <v>2</v>
      </c>
      <c r="D20" s="2003">
        <v>0.92</v>
      </c>
      <c r="E20" s="2003">
        <v>0.72</v>
      </c>
      <c r="F20" s="2003">
        <v>0.41</v>
      </c>
      <c r="G20" s="2003">
        <v>0.95</v>
      </c>
      <c r="H20" s="2911">
        <v>1.01</v>
      </c>
      <c r="I20" s="2004">
        <f t="shared" si="37"/>
        <v>0.41</v>
      </c>
      <c r="J20" s="2900"/>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0"/>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0"/>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2" customFormat="1" thickBot="1">
      <c r="A21" s="2912" t="s">
        <v>2822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08" t="s">
        <v>3383</v>
      </c>
    </row>
    <row r="24" spans="1:30">
      <c r="I24" s="1402" t="s">
        <v>2823</v>
      </c>
    </row>
    <row r="26" spans="1:30" s="2005" customFormat="1" ht="12.75">
      <c r="B26" s="2923" t="s">
        <v>3381</v>
      </c>
      <c r="C26" s="2924"/>
      <c r="D26" s="2924"/>
      <c r="E26" s="2924"/>
      <c r="F26" s="2924"/>
      <c r="G26" s="2924"/>
      <c r="H26" s="2924"/>
      <c r="I26" s="2924"/>
      <c r="J26" s="2890"/>
      <c r="K26" s="2924" t="s">
        <v>2824</v>
      </c>
      <c r="L26" s="2924"/>
      <c r="M26" s="2924"/>
      <c r="N26" s="2924"/>
      <c r="O26" s="2924"/>
      <c r="P26" s="2924"/>
      <c r="Q26" s="2890"/>
      <c r="R26" s="3531" t="s">
        <v>2825</v>
      </c>
      <c r="S26" s="3532"/>
      <c r="T26" s="3532"/>
      <c r="U26" s="3532"/>
      <c r="V26" s="3532"/>
      <c r="W26" s="3532"/>
      <c r="X26" s="2890"/>
      <c r="Y26" s="3531" t="s">
        <v>2826</v>
      </c>
      <c r="Z26" s="3532"/>
      <c r="AA26" s="3532"/>
      <c r="AB26" s="3532"/>
      <c r="AC26" s="3532"/>
      <c r="AD26" s="3532"/>
    </row>
    <row r="27" spans="1:30" s="2006" customFormat="1" ht="14.25" thickBot="1">
      <c r="B27" s="2875"/>
      <c r="C27" s="2876"/>
      <c r="D27" s="2007" t="s">
        <v>2827</v>
      </c>
      <c r="E27" s="2008" t="s">
        <v>2828</v>
      </c>
      <c r="F27" s="2008" t="s">
        <v>2829</v>
      </c>
      <c r="G27" s="2008" t="s">
        <v>2830</v>
      </c>
      <c r="H27" s="2008"/>
      <c r="I27" s="2008" t="s">
        <v>2831</v>
      </c>
      <c r="J27" s="2877"/>
      <c r="K27" s="2007" t="s">
        <v>2827</v>
      </c>
      <c r="L27" s="2008" t="s">
        <v>2828</v>
      </c>
      <c r="M27" s="2008" t="s">
        <v>2829</v>
      </c>
      <c r="N27" s="2008" t="s">
        <v>2830</v>
      </c>
      <c r="O27" s="2008"/>
      <c r="P27" s="2008" t="s">
        <v>2831</v>
      </c>
      <c r="Q27" s="2877"/>
      <c r="R27" s="2007" t="s">
        <v>2827</v>
      </c>
      <c r="S27" s="2008" t="s">
        <v>2828</v>
      </c>
      <c r="T27" s="2008" t="s">
        <v>2829</v>
      </c>
      <c r="U27" s="2008" t="s">
        <v>2830</v>
      </c>
      <c r="V27" s="2008"/>
      <c r="W27" s="2008" t="s">
        <v>2831</v>
      </c>
      <c r="X27" s="2877"/>
      <c r="Y27" s="2007" t="s">
        <v>2827</v>
      </c>
      <c r="Z27" s="2008" t="s">
        <v>2828</v>
      </c>
      <c r="AA27" s="2008" t="s">
        <v>2829</v>
      </c>
      <c r="AB27" s="2008" t="s">
        <v>2830</v>
      </c>
      <c r="AC27" s="2008"/>
      <c r="AD27" s="2008" t="s">
        <v>2831</v>
      </c>
    </row>
    <row r="28" spans="1:30" s="2880" customFormat="1" ht="12.75">
      <c r="A28" s="2878" t="s">
        <v>2832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5" customFormat="1" ht="12.75">
      <c r="B29" s="2021"/>
      <c r="J29" s="2890"/>
      <c r="K29" s="2891"/>
      <c r="L29" s="2892"/>
      <c r="M29" s="2892"/>
      <c r="N29" s="2892"/>
      <c r="O29" s="2892"/>
      <c r="P29" s="2892"/>
      <c r="Q29" s="2890"/>
      <c r="R29" s="2023"/>
      <c r="S29" s="2893"/>
      <c r="T29" s="2894"/>
      <c r="U29" s="2023"/>
      <c r="V29" s="2895"/>
      <c r="W29" s="2023"/>
      <c r="X29" s="2890"/>
      <c r="Y29" s="2024"/>
      <c r="Z29" s="2896"/>
      <c r="AA29" s="2897"/>
      <c r="AB29" s="2024"/>
      <c r="AC29" s="2898"/>
      <c r="AD29" s="2024"/>
    </row>
    <row r="30" spans="1:30" s="2041" customFormat="1" ht="12.75">
      <c r="A30" s="2036" t="s">
        <v>3376</v>
      </c>
      <c r="B30" s="2027">
        <v>2025</v>
      </c>
      <c r="C30" s="2038">
        <v>1</v>
      </c>
      <c r="D30" s="2003"/>
      <c r="E30" s="2003">
        <v>0</v>
      </c>
      <c r="F30" s="2003">
        <v>0</v>
      </c>
      <c r="G30" s="2003">
        <v>0</v>
      </c>
      <c r="H30" s="2003"/>
      <c r="I30" s="2004">
        <f t="shared" ref="I30" si="69">F30</f>
        <v>0</v>
      </c>
      <c r="J30" s="2900"/>
      <c r="K30" s="2039"/>
      <c r="L30" s="2024">
        <f t="shared" ref="L30" si="70">E30/100</f>
        <v>0</v>
      </c>
      <c r="M30" s="2024">
        <f t="shared" ref="M30" si="71">F30/100</f>
        <v>0</v>
      </c>
      <c r="N30" s="2024">
        <f t="shared" ref="N30" si="72">G30/100</f>
        <v>0</v>
      </c>
      <c r="O30" s="2024"/>
      <c r="P30" s="2024">
        <f>M30</f>
        <v>0</v>
      </c>
      <c r="Q30" s="2900"/>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0"/>
      <c r="Y30" s="2024"/>
      <c r="Z30" s="2896">
        <f t="shared" ref="Z30" si="73">IF(E30=0,0,ROUND(AVERAGE(E30:E43)/100,4))</f>
        <v>0</v>
      </c>
      <c r="AA30" s="2896">
        <f t="shared" ref="AA30" si="74">IF(F30=0,0,ROUND(AVERAGE(F30:F43)/100,4))</f>
        <v>0</v>
      </c>
      <c r="AB30" s="2896">
        <f t="shared" ref="AB30" si="75">IF(G30=0,0,ROUND(AVERAGE(G30:G43)/100,4))</f>
        <v>0</v>
      </c>
      <c r="AC30" s="2898"/>
      <c r="AD30" s="2024">
        <f>IF(I30=0,0,ROUND(AVERAGE(I30:I43)/100,4))</f>
        <v>0</v>
      </c>
    </row>
    <row r="31" spans="1:30" s="2910" customFormat="1" ht="12.75">
      <c r="A31" s="2901" t="s">
        <v>3378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1" customFormat="1" ht="12.75">
      <c r="A32" s="2036" t="s">
        <v>3371</v>
      </c>
      <c r="B32" s="2027">
        <v>2024</v>
      </c>
      <c r="C32" s="2038">
        <v>3</v>
      </c>
      <c r="D32" s="2003"/>
      <c r="E32" s="2003">
        <v>-0.66</v>
      </c>
      <c r="F32" s="2003">
        <v>-0.52</v>
      </c>
      <c r="G32" s="2003">
        <v>-2.87</v>
      </c>
      <c r="H32" s="2003"/>
      <c r="I32" s="2004">
        <f t="shared" ref="I32" si="83">F32</f>
        <v>-0.52</v>
      </c>
      <c r="J32" s="2900"/>
      <c r="K32" s="2039"/>
      <c r="L32" s="2024">
        <f t="shared" ref="L32" si="84">E32/100</f>
        <v>-6.6E-3</v>
      </c>
      <c r="M32" s="2024">
        <f t="shared" ref="M32" si="85">F32/100</f>
        <v>-5.1999999999999998E-3</v>
      </c>
      <c r="N32" s="2024">
        <f t="shared" ref="N32" si="86">G32/100</f>
        <v>-2.87E-2</v>
      </c>
      <c r="O32" s="2024"/>
      <c r="P32" s="2024">
        <f>M32</f>
        <v>-5.1999999999999998E-3</v>
      </c>
      <c r="Q32" s="2900"/>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0"/>
      <c r="Y32" s="2024"/>
      <c r="Z32" s="2896">
        <f t="shared" ref="Z32:AB33" si="87">IF(E32=0,0,ROUND(AVERAGE(E32:E45)/100,4))</f>
        <v>2.5999999999999999E-3</v>
      </c>
      <c r="AA32" s="2896">
        <f t="shared" si="87"/>
        <v>1.6999999999999999E-3</v>
      </c>
      <c r="AB32" s="2896">
        <f t="shared" si="87"/>
        <v>3.3999999999999998E-3</v>
      </c>
      <c r="AC32" s="2898"/>
      <c r="AD32" s="2024">
        <f>IF(I32=0,0,ROUND(AVERAGE(I32:I45)/100,4))</f>
        <v>1.6999999999999999E-3</v>
      </c>
    </row>
    <row r="33" spans="1:30" s="2041" customFormat="1" ht="12.75">
      <c r="A33" s="2899" t="s">
        <v>3379</v>
      </c>
      <c r="B33" s="2027">
        <v>2024</v>
      </c>
      <c r="C33" s="2038">
        <v>2</v>
      </c>
      <c r="D33" s="2003"/>
      <c r="E33" s="2003">
        <v>-0.31</v>
      </c>
      <c r="F33" s="2003">
        <v>-0.39</v>
      </c>
      <c r="G33" s="2003">
        <v>1.23</v>
      </c>
      <c r="H33" s="2911"/>
      <c r="I33" s="2004">
        <f t="shared" ref="I33:I46" si="88">F33</f>
        <v>-0.39</v>
      </c>
      <c r="J33" s="2900"/>
      <c r="K33" s="2039"/>
      <c r="L33" s="2024">
        <f t="shared" ref="L33:N46" si="89">E33/100</f>
        <v>-3.0999999999999999E-3</v>
      </c>
      <c r="M33" s="2024">
        <f t="shared" si="89"/>
        <v>-3.9000000000000003E-3</v>
      </c>
      <c r="N33" s="2024">
        <f t="shared" si="89"/>
        <v>1.23E-2</v>
      </c>
      <c r="O33" s="2024"/>
      <c r="P33" s="2024">
        <f>M33</f>
        <v>-3.9000000000000003E-3</v>
      </c>
      <c r="Q33" s="2900"/>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0"/>
      <c r="Y33" s="2024"/>
      <c r="Z33" s="2896">
        <f t="shared" si="87"/>
        <v>3.3E-3</v>
      </c>
      <c r="AA33" s="2897">
        <f t="shared" si="87"/>
        <v>2.3999999999999998E-3</v>
      </c>
      <c r="AB33" s="2024">
        <f t="shared" si="87"/>
        <v>6.1999999999999998E-3</v>
      </c>
      <c r="AC33" s="2898"/>
      <c r="AD33" s="2024">
        <f>IF(I33=0,0,ROUND(AVERAGE(I33:I46)/100,4))</f>
        <v>2.3999999999999998E-3</v>
      </c>
    </row>
    <row r="34" spans="1:30" s="2041" customFormat="1" ht="12.75">
      <c r="A34" s="2899" t="s">
        <v>3372</v>
      </c>
      <c r="B34" s="2027">
        <v>2024</v>
      </c>
      <c r="C34" s="2038">
        <v>1</v>
      </c>
      <c r="D34" s="2003"/>
      <c r="E34" s="2003">
        <v>0.25</v>
      </c>
      <c r="F34" s="2003">
        <v>0.4</v>
      </c>
      <c r="G34" s="2003">
        <v>-0.63</v>
      </c>
      <c r="H34" s="2911"/>
      <c r="I34" s="2004">
        <f t="shared" ref="I34:I35" si="90">F34</f>
        <v>0.4</v>
      </c>
      <c r="J34" s="2900"/>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0"/>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0"/>
      <c r="Y34" s="2024"/>
      <c r="Z34" s="2896"/>
      <c r="AA34" s="2897"/>
      <c r="AB34" s="2024"/>
      <c r="AC34" s="2898"/>
      <c r="AD34" s="2024"/>
    </row>
    <row r="35" spans="1:30" s="2041" customFormat="1" ht="12.75">
      <c r="A35" s="2899" t="s">
        <v>3370</v>
      </c>
      <c r="B35" s="2027">
        <v>2023</v>
      </c>
      <c r="C35" s="2038">
        <v>4</v>
      </c>
      <c r="D35" s="2003"/>
      <c r="E35" s="2003">
        <v>7.0000000000000007E-2</v>
      </c>
      <c r="F35" s="2003">
        <v>0.09</v>
      </c>
      <c r="G35" s="2003">
        <v>0.03</v>
      </c>
      <c r="H35" s="2911"/>
      <c r="I35" s="2004">
        <f t="shared" si="90"/>
        <v>0.09</v>
      </c>
      <c r="J35" s="2900"/>
      <c r="K35" s="2039"/>
      <c r="L35" s="2024">
        <f t="shared" si="89"/>
        <v>7.000000000000001E-4</v>
      </c>
      <c r="M35" s="2024">
        <f t="shared" si="89"/>
        <v>8.9999999999999998E-4</v>
      </c>
      <c r="N35" s="2024">
        <f t="shared" si="89"/>
        <v>2.9999999999999997E-4</v>
      </c>
      <c r="O35" s="2024"/>
      <c r="P35" s="2024">
        <f t="shared" ref="P35" si="96">M35</f>
        <v>8.9999999999999998E-4</v>
      </c>
      <c r="Q35" s="2900"/>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0"/>
      <c r="Y35" s="2024"/>
      <c r="Z35" s="2896"/>
      <c r="AA35" s="2897"/>
      <c r="AB35" s="2024"/>
      <c r="AC35" s="2898"/>
      <c r="AD35" s="2024"/>
    </row>
    <row r="36" spans="1:30" s="2041" customFormat="1" ht="12.75">
      <c r="A36" s="2899" t="s">
        <v>3368</v>
      </c>
      <c r="B36" s="2027">
        <v>2023</v>
      </c>
      <c r="C36" s="2038">
        <v>3</v>
      </c>
      <c r="D36" s="2003"/>
      <c r="E36" s="2003">
        <v>0.35</v>
      </c>
      <c r="F36" s="2003">
        <v>0.17</v>
      </c>
      <c r="G36" s="2003">
        <v>0.52</v>
      </c>
      <c r="H36" s="2911"/>
      <c r="I36" s="2004">
        <f t="shared" si="88"/>
        <v>0.17</v>
      </c>
      <c r="J36" s="2900"/>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0"/>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0"/>
      <c r="Y36" s="2024"/>
      <c r="Z36" s="2896"/>
      <c r="AA36" s="2897"/>
      <c r="AB36" s="2024"/>
      <c r="AC36" s="2898"/>
      <c r="AD36" s="2024"/>
    </row>
    <row r="37" spans="1:30" s="2041" customFormat="1" ht="12.75">
      <c r="A37" s="2899" t="s">
        <v>3367</v>
      </c>
      <c r="B37" s="2027">
        <v>2023</v>
      </c>
      <c r="C37" s="2038">
        <v>2</v>
      </c>
      <c r="D37" s="2003"/>
      <c r="E37" s="2003">
        <v>0.5</v>
      </c>
      <c r="F37" s="2003">
        <v>0.45</v>
      </c>
      <c r="G37" s="2003">
        <v>0.89</v>
      </c>
      <c r="H37" s="2911"/>
      <c r="I37" s="2004">
        <f t="shared" si="88"/>
        <v>0.45</v>
      </c>
      <c r="J37" s="2900"/>
      <c r="K37" s="2039"/>
      <c r="L37" s="2024">
        <f t="shared" si="98"/>
        <v>5.0000000000000001E-3</v>
      </c>
      <c r="M37" s="2024">
        <f t="shared" si="99"/>
        <v>4.5000000000000005E-3</v>
      </c>
      <c r="N37" s="2024">
        <f t="shared" si="100"/>
        <v>8.8999999999999999E-3</v>
      </c>
      <c r="O37" s="2024"/>
      <c r="P37" s="2024">
        <f t="shared" si="101"/>
        <v>4.5000000000000005E-3</v>
      </c>
      <c r="Q37" s="2900"/>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0"/>
      <c r="Y37" s="2024"/>
      <c r="Z37" s="2896"/>
      <c r="AA37" s="2897"/>
      <c r="AB37" s="2024"/>
      <c r="AC37" s="2898"/>
      <c r="AD37" s="2024"/>
    </row>
    <row r="38" spans="1:30" s="2041" customFormat="1" ht="12.75">
      <c r="A38" s="2899" t="s">
        <v>3365</v>
      </c>
      <c r="B38" s="2027">
        <v>2023</v>
      </c>
      <c r="C38" s="2038">
        <v>1</v>
      </c>
      <c r="D38" s="2003"/>
      <c r="E38" s="2003">
        <v>0.55000000000000004</v>
      </c>
      <c r="F38" s="2003">
        <v>0.59</v>
      </c>
      <c r="G38" s="2003">
        <v>0.64</v>
      </c>
      <c r="H38" s="2911"/>
      <c r="I38" s="2004">
        <f t="shared" si="88"/>
        <v>0.59</v>
      </c>
      <c r="J38" s="2900"/>
      <c r="K38" s="2039"/>
      <c r="L38" s="2024">
        <f t="shared" si="98"/>
        <v>5.5000000000000005E-3</v>
      </c>
      <c r="M38" s="2024">
        <f t="shared" si="99"/>
        <v>5.8999999999999999E-3</v>
      </c>
      <c r="N38" s="2024">
        <f t="shared" si="100"/>
        <v>6.4000000000000003E-3</v>
      </c>
      <c r="O38" s="2024"/>
      <c r="P38" s="2024">
        <f t="shared" si="101"/>
        <v>5.8999999999999999E-3</v>
      </c>
      <c r="Q38" s="2900"/>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0"/>
      <c r="Y38" s="2024"/>
      <c r="Z38" s="2896"/>
      <c r="AA38" s="2897"/>
      <c r="AB38" s="2024"/>
      <c r="AC38" s="2898"/>
      <c r="AD38" s="2024"/>
    </row>
    <row r="39" spans="1:30" s="2041" customFormat="1" ht="12.75">
      <c r="A39" s="2899" t="s">
        <v>3364</v>
      </c>
      <c r="B39" s="2027">
        <v>2022</v>
      </c>
      <c r="C39" s="2038">
        <v>4</v>
      </c>
      <c r="D39" s="2003"/>
      <c r="E39" s="2003">
        <v>0.45</v>
      </c>
      <c r="F39" s="2003">
        <v>0.2</v>
      </c>
      <c r="G39" s="2003">
        <v>0.38</v>
      </c>
      <c r="H39" s="2911"/>
      <c r="I39" s="2004">
        <f t="shared" si="88"/>
        <v>0.2</v>
      </c>
      <c r="J39" s="2900"/>
      <c r="K39" s="2039"/>
      <c r="L39" s="2024">
        <f t="shared" si="89"/>
        <v>4.5000000000000005E-3</v>
      </c>
      <c r="M39" s="2024">
        <f t="shared" si="89"/>
        <v>2E-3</v>
      </c>
      <c r="N39" s="2024">
        <f t="shared" si="89"/>
        <v>3.8E-3</v>
      </c>
      <c r="O39" s="2024"/>
      <c r="P39" s="2024">
        <f t="shared" ref="P39:P46" si="103">M39</f>
        <v>2E-3</v>
      </c>
      <c r="Q39" s="2900"/>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0"/>
      <c r="Y39" s="2024"/>
      <c r="Z39" s="2896">
        <f t="shared" ref="Z39:AD46" si="105">IF(E39=0,0,ROUND(AVERAGE(E39:E47)/100,4))</f>
        <v>4.0000000000000001E-3</v>
      </c>
      <c r="AA39" s="2897">
        <f t="shared" si="105"/>
        <v>2.5999999999999999E-3</v>
      </c>
      <c r="AB39" s="2024">
        <f t="shared" si="105"/>
        <v>7.4000000000000003E-3</v>
      </c>
      <c r="AC39" s="2898"/>
      <c r="AD39" s="2024">
        <f t="shared" si="105"/>
        <v>2.5999999999999999E-3</v>
      </c>
    </row>
    <row r="40" spans="1:30" s="2041" customFormat="1" ht="12.75">
      <c r="A40" s="2899" t="s">
        <v>3363</v>
      </c>
      <c r="B40" s="2027">
        <v>2022</v>
      </c>
      <c r="C40" s="2038">
        <v>3</v>
      </c>
      <c r="D40" s="2003"/>
      <c r="E40" s="2003">
        <v>0.3</v>
      </c>
      <c r="F40" s="2003">
        <v>0.28999999999999998</v>
      </c>
      <c r="G40" s="2003">
        <v>0.83</v>
      </c>
      <c r="H40" s="2911"/>
      <c r="I40" s="2004">
        <f t="shared" si="88"/>
        <v>0.28999999999999998</v>
      </c>
      <c r="J40" s="2900"/>
      <c r="K40" s="2039"/>
      <c r="L40" s="2024">
        <f t="shared" si="89"/>
        <v>3.0000000000000001E-3</v>
      </c>
      <c r="M40" s="2024">
        <f t="shared" si="89"/>
        <v>2.8999999999999998E-3</v>
      </c>
      <c r="N40" s="2024">
        <f t="shared" si="89"/>
        <v>8.3000000000000001E-3</v>
      </c>
      <c r="O40" s="2024"/>
      <c r="P40" s="2024">
        <f t="shared" si="103"/>
        <v>2.8999999999999998E-3</v>
      </c>
      <c r="Q40" s="2900"/>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0"/>
      <c r="Y40" s="2024"/>
      <c r="Z40" s="2896">
        <f t="shared" si="105"/>
        <v>3.8999999999999998E-3</v>
      </c>
      <c r="AA40" s="2897">
        <f t="shared" si="105"/>
        <v>2.7000000000000001E-3</v>
      </c>
      <c r="AB40" s="2024">
        <f t="shared" si="105"/>
        <v>7.9000000000000008E-3</v>
      </c>
      <c r="AC40" s="2898"/>
      <c r="AD40" s="2024">
        <f t="shared" si="105"/>
        <v>2.7000000000000001E-3</v>
      </c>
    </row>
    <row r="41" spans="1:30" s="2041" customFormat="1" ht="12.75">
      <c r="A41" s="2899" t="s">
        <v>3353</v>
      </c>
      <c r="B41" s="2027">
        <v>2022</v>
      </c>
      <c r="C41" s="2038">
        <v>2</v>
      </c>
      <c r="D41" s="2003"/>
      <c r="E41" s="2003">
        <v>-0.11</v>
      </c>
      <c r="F41" s="2003">
        <v>-0.13</v>
      </c>
      <c r="G41" s="2003">
        <v>0.53</v>
      </c>
      <c r="H41" s="2911"/>
      <c r="I41" s="2004">
        <f t="shared" si="88"/>
        <v>-0.13</v>
      </c>
      <c r="J41" s="2900"/>
      <c r="K41" s="2039"/>
      <c r="L41" s="2024">
        <f t="shared" si="89"/>
        <v>-1.1000000000000001E-3</v>
      </c>
      <c r="M41" s="2024">
        <f t="shared" si="89"/>
        <v>-1.2999999999999999E-3</v>
      </c>
      <c r="N41" s="2024">
        <f t="shared" si="89"/>
        <v>5.3E-3</v>
      </c>
      <c r="O41" s="2024"/>
      <c r="P41" s="2024">
        <f t="shared" si="103"/>
        <v>-1.2999999999999999E-3</v>
      </c>
      <c r="Q41" s="2900"/>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0"/>
      <c r="Y41" s="2024"/>
      <c r="Z41" s="2896">
        <f t="shared" si="105"/>
        <v>4.1000000000000003E-3</v>
      </c>
      <c r="AA41" s="2897">
        <f t="shared" si="105"/>
        <v>2.7000000000000001E-3</v>
      </c>
      <c r="AB41" s="2024">
        <f t="shared" si="105"/>
        <v>7.9000000000000008E-3</v>
      </c>
      <c r="AC41" s="2898"/>
      <c r="AD41" s="2024">
        <f t="shared" si="105"/>
        <v>2.7000000000000001E-3</v>
      </c>
    </row>
    <row r="42" spans="1:30" s="2041" customFormat="1" ht="12.75">
      <c r="A42" s="2899" t="s">
        <v>2833</v>
      </c>
      <c r="B42" s="2027">
        <v>2022</v>
      </c>
      <c r="C42" s="2038">
        <v>1</v>
      </c>
      <c r="D42" s="2003"/>
      <c r="E42" s="2003">
        <v>0.6</v>
      </c>
      <c r="F42" s="2003">
        <v>0.45</v>
      </c>
      <c r="G42" s="2003">
        <v>0.53</v>
      </c>
      <c r="H42" s="2911"/>
      <c r="I42" s="2004">
        <f t="shared" si="88"/>
        <v>0.45</v>
      </c>
      <c r="J42" s="2900"/>
      <c r="K42" s="2039"/>
      <c r="L42" s="2024">
        <f t="shared" si="89"/>
        <v>6.0000000000000001E-3</v>
      </c>
      <c r="M42" s="2024">
        <f t="shared" si="89"/>
        <v>4.5000000000000005E-3</v>
      </c>
      <c r="N42" s="2024">
        <f t="shared" si="89"/>
        <v>5.3E-3</v>
      </c>
      <c r="O42" s="2024"/>
      <c r="P42" s="2024">
        <f t="shared" si="103"/>
        <v>4.5000000000000005E-3</v>
      </c>
      <c r="Q42" s="2900"/>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0"/>
      <c r="Y42" s="2024"/>
      <c r="Z42" s="2896">
        <f t="shared" si="105"/>
        <v>5.1000000000000004E-3</v>
      </c>
      <c r="AA42" s="2897">
        <f t="shared" si="105"/>
        <v>3.5000000000000001E-3</v>
      </c>
      <c r="AB42" s="2024">
        <f t="shared" si="105"/>
        <v>8.3999999999999995E-3</v>
      </c>
      <c r="AC42" s="2898"/>
      <c r="AD42" s="2024">
        <f t="shared" si="105"/>
        <v>3.5000000000000001E-3</v>
      </c>
    </row>
    <row r="43" spans="1:30" s="2041" customFormat="1" ht="12.75">
      <c r="A43" s="2899" t="s">
        <v>2834</v>
      </c>
      <c r="B43" s="2027">
        <v>2021</v>
      </c>
      <c r="C43" s="2038">
        <v>4</v>
      </c>
      <c r="D43" s="2003"/>
      <c r="E43" s="2003">
        <v>0.57999999999999996</v>
      </c>
      <c r="F43" s="2003">
        <v>0.08</v>
      </c>
      <c r="G43" s="2003">
        <v>0.68</v>
      </c>
      <c r="H43" s="2911"/>
      <c r="I43" s="2004">
        <f t="shared" si="88"/>
        <v>0.08</v>
      </c>
      <c r="J43" s="2900"/>
      <c r="K43" s="2039"/>
      <c r="L43" s="2024">
        <f t="shared" si="89"/>
        <v>5.7999999999999996E-3</v>
      </c>
      <c r="M43" s="2024">
        <f t="shared" si="89"/>
        <v>8.0000000000000004E-4</v>
      </c>
      <c r="N43" s="2024">
        <f t="shared" si="89"/>
        <v>6.8000000000000005E-3</v>
      </c>
      <c r="O43" s="2024"/>
      <c r="P43" s="2024">
        <f t="shared" si="103"/>
        <v>8.0000000000000004E-4</v>
      </c>
      <c r="Q43" s="2900"/>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0"/>
      <c r="Y43" s="2024"/>
      <c r="Z43" s="2896">
        <f t="shared" si="105"/>
        <v>4.8999999999999998E-3</v>
      </c>
      <c r="AA43" s="2897">
        <f t="shared" si="105"/>
        <v>3.3E-3</v>
      </c>
      <c r="AB43" s="2024">
        <f t="shared" si="105"/>
        <v>9.1999999999999998E-3</v>
      </c>
      <c r="AC43" s="2898"/>
      <c r="AD43" s="2024">
        <f t="shared" si="105"/>
        <v>3.3E-3</v>
      </c>
    </row>
    <row r="44" spans="1:30" s="2041" customFormat="1" ht="12.75">
      <c r="A44" s="2899" t="s">
        <v>2835</v>
      </c>
      <c r="B44" s="2027">
        <v>2021</v>
      </c>
      <c r="C44" s="2038">
        <v>3</v>
      </c>
      <c r="D44" s="2003"/>
      <c r="E44" s="2003">
        <v>0.47</v>
      </c>
      <c r="F44" s="2003">
        <v>0.28000000000000003</v>
      </c>
      <c r="G44" s="2003">
        <v>0.91</v>
      </c>
      <c r="H44" s="2911"/>
      <c r="I44" s="2004">
        <f t="shared" si="88"/>
        <v>0.28000000000000003</v>
      </c>
      <c r="J44" s="2900"/>
      <c r="K44" s="2039"/>
      <c r="L44" s="2024">
        <f t="shared" si="89"/>
        <v>4.6999999999999993E-3</v>
      </c>
      <c r="M44" s="2024">
        <f t="shared" si="89"/>
        <v>2.8000000000000004E-3</v>
      </c>
      <c r="N44" s="2024">
        <f t="shared" si="89"/>
        <v>9.1000000000000004E-3</v>
      </c>
      <c r="O44" s="2024"/>
      <c r="P44" s="2024">
        <f t="shared" si="103"/>
        <v>2.8000000000000004E-3</v>
      </c>
      <c r="Q44" s="2900"/>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0"/>
      <c r="Y44" s="2024"/>
      <c r="Z44" s="2896">
        <f t="shared" si="105"/>
        <v>4.5999999999999999E-3</v>
      </c>
      <c r="AA44" s="2897">
        <f t="shared" si="105"/>
        <v>4.1000000000000003E-3</v>
      </c>
      <c r="AB44" s="2024">
        <f t="shared" si="105"/>
        <v>0.01</v>
      </c>
      <c r="AC44" s="2898"/>
      <c r="AD44" s="2024">
        <f t="shared" si="105"/>
        <v>4.1000000000000003E-3</v>
      </c>
    </row>
    <row r="45" spans="1:30" s="2041" customFormat="1" ht="12.75">
      <c r="A45" s="2899" t="s">
        <v>2836</v>
      </c>
      <c r="B45" s="2027">
        <v>2021</v>
      </c>
      <c r="C45" s="2038">
        <v>2</v>
      </c>
      <c r="D45" s="2003"/>
      <c r="E45" s="2003">
        <v>0.55000000000000004</v>
      </c>
      <c r="F45" s="2003">
        <v>0.46</v>
      </c>
      <c r="G45" s="2003">
        <v>1.1000000000000001</v>
      </c>
      <c r="H45" s="2911"/>
      <c r="I45" s="2004">
        <f t="shared" si="88"/>
        <v>0.46</v>
      </c>
      <c r="J45" s="2900"/>
      <c r="K45" s="2039"/>
      <c r="L45" s="2024">
        <f t="shared" si="89"/>
        <v>5.5000000000000005E-3</v>
      </c>
      <c r="M45" s="2024">
        <f t="shared" si="89"/>
        <v>4.5999999999999999E-3</v>
      </c>
      <c r="N45" s="2024">
        <f t="shared" si="89"/>
        <v>1.1000000000000001E-2</v>
      </c>
      <c r="O45" s="2024"/>
      <c r="P45" s="2024">
        <f t="shared" si="103"/>
        <v>4.5999999999999999E-3</v>
      </c>
      <c r="Q45" s="2900"/>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0"/>
      <c r="Y45" s="2024"/>
      <c r="Z45" s="2896">
        <f t="shared" si="105"/>
        <v>4.4999999999999997E-3</v>
      </c>
      <c r="AA45" s="2897">
        <f t="shared" si="105"/>
        <v>4.7000000000000002E-3</v>
      </c>
      <c r="AB45" s="2024">
        <f t="shared" si="105"/>
        <v>1.04E-2</v>
      </c>
      <c r="AC45" s="2898"/>
      <c r="AD45" s="2024">
        <f t="shared" si="105"/>
        <v>4.7000000000000002E-3</v>
      </c>
    </row>
    <row r="46" spans="1:30" s="2922" customFormat="1" thickBot="1">
      <c r="A46" s="2912" t="s">
        <v>2822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08"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37" sqref="L37"/>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36" t="s">
        <v>452</v>
      </c>
      <c r="C1" s="3536"/>
      <c r="D1" s="3536"/>
      <c r="E1" s="3536"/>
      <c r="F1" s="3536"/>
      <c r="G1" s="3532" t="s">
        <v>453</v>
      </c>
      <c r="H1" s="3532"/>
      <c r="I1" s="3532"/>
      <c r="J1" s="3532"/>
      <c r="K1" s="3532"/>
      <c r="L1" s="3532"/>
      <c r="N1" s="3532" t="s">
        <v>454</v>
      </c>
      <c r="O1" s="3532"/>
      <c r="P1" s="3532"/>
      <c r="Q1" s="3532"/>
      <c r="S1" s="3532" t="s">
        <v>455</v>
      </c>
      <c r="T1" s="3532"/>
      <c r="U1" s="3532"/>
      <c r="V1" s="3532"/>
      <c r="X1" s="3531" t="s">
        <v>456</v>
      </c>
      <c r="Y1" s="3532"/>
      <c r="Z1" s="3532"/>
      <c r="AA1" s="3532"/>
      <c r="AB1" s="3532"/>
      <c r="AD1" s="3531" t="s">
        <v>457</v>
      </c>
      <c r="AE1" s="3532"/>
      <c r="AF1" s="3532"/>
      <c r="AG1" s="3532"/>
      <c r="AH1" s="3532"/>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4">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4"/>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4"/>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1"/>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37">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4"/>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4"/>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1"/>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7">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4"/>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4"/>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5"/>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33">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4"/>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4"/>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5"/>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33">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4"/>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4"/>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5"/>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8">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9"/>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9"/>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0"/>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33">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4"/>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4"/>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35"/>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33">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4">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4">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5">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33">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4">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4">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5">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33">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4">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4">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5">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33">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4">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4">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5">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33">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4">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4">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5">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33">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4">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4">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5">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33">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4">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4">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5">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33">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4">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4">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5">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33">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4">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4">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35">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33">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4">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4">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35">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6" sqref="C1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2307</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15"/>
      <c r="B3" s="3215"/>
      <c r="C3" s="3215"/>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房地产抵押价值</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吴薇</v>
      </c>
      <c r="B5" s="1406">
        <f ca="1">项目基本情况!E4</f>
        <v>1419970001</v>
      </c>
      <c r="C5" s="1409"/>
      <c r="D5" s="1408" t="s">
        <v>938</v>
      </c>
    </row>
    <row r="6" spans="1:4" ht="18">
      <c r="A6" s="3228" t="s">
        <v>939</v>
      </c>
      <c r="B6" s="3228"/>
      <c r="C6" s="3228"/>
      <c r="D6" s="3228"/>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1" t="str">
        <f>IF(项目基本情况!B8="抵押","4.本次评估估价师所知悉的法定优先受偿款情况说明如下：","——")</f>
        <v>4.本次评估估价师所知悉的法定优先受偿款情况说明如下：</v>
      </c>
      <c r="B14" s="3226"/>
      <c r="C14" s="3226"/>
      <c r="D14" s="3226"/>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945</v>
      </c>
      <c r="B22" s="3225"/>
      <c r="C22" s="3225"/>
      <c r="D22" s="3225"/>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5" t="s">
        <v>956</v>
      </c>
      <c r="B15" s="3230" t="s">
        <v>109</v>
      </c>
      <c r="C15" s="3231"/>
    </row>
    <row r="16" spans="1:7" ht="13.5">
      <c r="A16" s="3236"/>
      <c r="B16" s="3230" t="s">
        <v>42</v>
      </c>
      <c r="C16" s="3231"/>
    </row>
    <row r="17" spans="1:3" ht="13.5">
      <c r="A17" s="3236"/>
      <c r="B17" s="3233" t="s">
        <v>957</v>
      </c>
      <c r="C17" s="1426" t="s">
        <v>956</v>
      </c>
    </row>
    <row r="18" spans="1:3" ht="13.5">
      <c r="A18" s="3236"/>
      <c r="B18" s="3233"/>
      <c r="C18" s="1426" t="s">
        <v>958</v>
      </c>
    </row>
    <row r="19" spans="1:3" ht="13.5">
      <c r="A19" s="3236"/>
      <c r="B19" s="3233"/>
      <c r="C19" s="1426" t="s">
        <v>959</v>
      </c>
    </row>
    <row r="20" spans="1:3" ht="13.5">
      <c r="A20" s="3237"/>
      <c r="B20" s="3232" t="s">
        <v>960</v>
      </c>
      <c r="C20" s="3231"/>
    </row>
    <row r="21" spans="1:3" ht="13.5">
      <c r="A21" s="1427" t="s">
        <v>961</v>
      </c>
      <c r="B21" s="1428"/>
      <c r="C21" s="1429"/>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6" t="s">
        <v>967</v>
      </c>
    </row>
    <row r="26" spans="1:3" ht="13.5">
      <c r="A26" s="3234"/>
      <c r="B26" s="3233"/>
      <c r="C26" s="1426" t="s">
        <v>968</v>
      </c>
    </row>
    <row r="27" spans="1:3" ht="13.5">
      <c r="A27" s="3234"/>
      <c r="B27" s="3233"/>
      <c r="C27" s="1426" t="s">
        <v>969</v>
      </c>
    </row>
    <row r="28" spans="1:3" ht="13.5">
      <c r="A28" s="3234"/>
      <c r="B28" s="3233"/>
      <c r="C28" s="1426" t="s">
        <v>970</v>
      </c>
    </row>
    <row r="29" spans="1:3" ht="13.5">
      <c r="A29" s="3234"/>
      <c r="B29" s="3233"/>
      <c r="C29" s="1426" t="s">
        <v>971</v>
      </c>
    </row>
    <row r="30" spans="1:3" ht="13.5">
      <c r="A30" s="3234"/>
      <c r="B30" s="3233"/>
      <c r="C30" s="1426" t="s">
        <v>972</v>
      </c>
    </row>
    <row r="31" spans="1:3" ht="13.5">
      <c r="A31" s="3234"/>
      <c r="B31" s="3233"/>
      <c r="C31" s="1426" t="s">
        <v>973</v>
      </c>
    </row>
    <row r="32" spans="1:3" ht="13.5">
      <c r="A32" s="3234"/>
      <c r="B32" s="3233"/>
      <c r="C32" s="1426" t="s">
        <v>974</v>
      </c>
    </row>
    <row r="33" spans="1:3" ht="13.5">
      <c r="A33" s="3234"/>
      <c r="B33" s="3233"/>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45636</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2435</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6"/>
      <c r="E18" s="3240" t="s">
        <v>2162</v>
      </c>
      <c r="F18" s="3239"/>
      <c r="G18" s="3239"/>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2024-12-10T02:45:47Z</dcterms:modified>
</cp:coreProperties>
</file>