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4" i="21" l="1"/>
  <c r="D94" i="21"/>
  <c r="C94" i="21"/>
  <c r="I28" i="21" l="1"/>
  <c r="G28" i="21"/>
  <c r="C33" i="21"/>
  <c r="I5" i="21"/>
  <c r="G5" i="21"/>
  <c r="C90" i="21"/>
  <c r="C27" i="21" s="1"/>
  <c r="E27" i="21" s="1"/>
  <c r="G27" i="21" s="1"/>
  <c r="I27" i="21" s="1"/>
  <c r="E7" i="21"/>
  <c r="C5" i="21"/>
  <c r="J24" i="1"/>
  <c r="M23" i="1"/>
  <c r="L23" i="1"/>
  <c r="L22" i="1"/>
  <c r="J17" i="1"/>
  <c r="L24" i="1" l="1"/>
  <c r="C37" i="21" s="1"/>
  <c r="E17" i="1"/>
  <c r="D2" i="4"/>
  <c r="G37" i="21" l="1"/>
  <c r="I37" i="21"/>
  <c r="E37" i="21"/>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4" i="61"/>
  <c r="F3" i="61"/>
  <c r="D5" i="61"/>
  <c r="D3" i="61"/>
  <c r="F6" i="61"/>
  <c r="D6" i="61"/>
  <c r="F5" i="61"/>
  <c r="D7" i="61"/>
  <c r="I1" i="61" l="1"/>
  <c r="B30" i="1" s="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E42" i="59"/>
  <c r="Q41" i="59"/>
  <c r="F42" i="59" s="1"/>
  <c r="F43" i="59" s="1"/>
  <c r="F44" i="59" s="1"/>
  <c r="V44" i="59" s="1"/>
  <c r="P41" i="59"/>
  <c r="O41" i="59"/>
  <c r="C42" i="59" s="1"/>
  <c r="N41" i="59"/>
  <c r="B42" i="59" s="1"/>
  <c r="B43" i="59" s="1"/>
  <c r="D41" i="59"/>
  <c r="Q40" i="59"/>
  <c r="P40" i="59"/>
  <c r="O40" i="59"/>
  <c r="N40" i="59"/>
  <c r="Q39" i="59"/>
  <c r="P39" i="59"/>
  <c r="O39" i="59"/>
  <c r="N39" i="59"/>
  <c r="Q38" i="59"/>
  <c r="P38" i="59"/>
  <c r="O38" i="59"/>
  <c r="N38" i="59"/>
  <c r="E38" i="59"/>
  <c r="Q37" i="59"/>
  <c r="F38" i="59" s="1"/>
  <c r="F39" i="59" s="1"/>
  <c r="F40" i="59" s="1"/>
  <c r="V40" i="59" s="1"/>
  <c r="P37" i="59"/>
  <c r="O37" i="59"/>
  <c r="C38" i="59" s="1"/>
  <c r="N37" i="59"/>
  <c r="B38" i="59" s="1"/>
  <c r="B39" i="59" s="1"/>
  <c r="D37" i="59"/>
  <c r="Q36" i="59"/>
  <c r="P36" i="59"/>
  <c r="O36" i="59"/>
  <c r="N36" i="59"/>
  <c r="Q35" i="59"/>
  <c r="P35" i="59"/>
  <c r="O35" i="59"/>
  <c r="N35" i="59"/>
  <c r="Q34" i="59"/>
  <c r="P34" i="59"/>
  <c r="O34" i="59"/>
  <c r="N34" i="59"/>
  <c r="E34" i="59"/>
  <c r="Q33" i="59"/>
  <c r="F34" i="59" s="1"/>
  <c r="F35" i="59" s="1"/>
  <c r="F36" i="59" s="1"/>
  <c r="V36" i="59" s="1"/>
  <c r="P33" i="59"/>
  <c r="O33" i="59"/>
  <c r="C34" i="59" s="1"/>
  <c r="N33" i="59"/>
  <c r="B34" i="59" s="1"/>
  <c r="B35"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P18" i="59"/>
  <c r="AA18" i="59" s="1"/>
  <c r="O18" i="59"/>
  <c r="N18" i="59"/>
  <c r="X18" i="59" s="1"/>
  <c r="Q17" i="59"/>
  <c r="AB17" i="59" s="1"/>
  <c r="P17" i="59"/>
  <c r="O17" i="59"/>
  <c r="N17" i="59"/>
  <c r="D17" i="59"/>
  <c r="Q16" i="59"/>
  <c r="P16" i="59"/>
  <c r="AA16" i="59" s="1"/>
  <c r="O16" i="59"/>
  <c r="N16" i="59"/>
  <c r="X16" i="59" s="1"/>
  <c r="Q15" i="59"/>
  <c r="P15" i="59"/>
  <c r="AA15" i="59" s="1"/>
  <c r="O15" i="59"/>
  <c r="N15" i="59"/>
  <c r="X15" i="59" s="1"/>
  <c r="Q14" i="59"/>
  <c r="P14" i="59"/>
  <c r="AA14" i="59" s="1"/>
  <c r="O14" i="59"/>
  <c r="N14" i="59"/>
  <c r="X14" i="59" s="1"/>
  <c r="Q13" i="59"/>
  <c r="AB13" i="59" s="1"/>
  <c r="P13" i="59"/>
  <c r="O13" i="59"/>
  <c r="N13" i="59"/>
  <c r="D13" i="59"/>
  <c r="Q12" i="59"/>
  <c r="P12" i="59"/>
  <c r="AA12" i="59" s="1"/>
  <c r="O12" i="59"/>
  <c r="N12" i="59"/>
  <c r="X12" i="59" s="1"/>
  <c r="Q11" i="59"/>
  <c r="P11" i="59"/>
  <c r="AA11" i="59" s="1"/>
  <c r="O11" i="59"/>
  <c r="N11" i="59"/>
  <c r="X11" i="59" s="1"/>
  <c r="Q10" i="59"/>
  <c r="P10" i="59"/>
  <c r="AA10" i="59" s="1"/>
  <c r="O10" i="59"/>
  <c r="N10" i="59"/>
  <c r="X10" i="59" s="1"/>
  <c r="Q9" i="59"/>
  <c r="AB9" i="59" s="1"/>
  <c r="P9" i="59"/>
  <c r="O9" i="59"/>
  <c r="N9" i="59"/>
  <c r="D9" i="59"/>
  <c r="O8" i="59"/>
  <c r="N8" i="59"/>
  <c r="C10" i="59" l="1"/>
  <c r="C11" i="59" s="1"/>
  <c r="Y9" i="59"/>
  <c r="Z9" i="59" s="1"/>
  <c r="C14" i="59"/>
  <c r="C15" i="59" s="1"/>
  <c r="Y13" i="59"/>
  <c r="Z13" i="59" s="1"/>
  <c r="C18" i="59"/>
  <c r="C19" i="59" s="1"/>
  <c r="Y17" i="59"/>
  <c r="Z17" i="59" s="1"/>
  <c r="N48" i="59"/>
  <c r="B10" i="59"/>
  <c r="B11" i="59" s="1"/>
  <c r="B12" i="59" s="1"/>
  <c r="S12" i="59" s="1"/>
  <c r="X9" i="59"/>
  <c r="E10" i="59"/>
  <c r="E11" i="59" s="1"/>
  <c r="E12" i="59" s="1"/>
  <c r="U12" i="59" s="1"/>
  <c r="AA9" i="59"/>
  <c r="F10" i="59"/>
  <c r="F11" i="59" s="1"/>
  <c r="F12" i="59" s="1"/>
  <c r="V12" i="59" s="1"/>
  <c r="Y10" i="59"/>
  <c r="Z10" i="59" s="1"/>
  <c r="AB10" i="59"/>
  <c r="Y11" i="59"/>
  <c r="Z11" i="59" s="1"/>
  <c r="AB11" i="59"/>
  <c r="Y12" i="59"/>
  <c r="Z12" i="59" s="1"/>
  <c r="AB12" i="59"/>
  <c r="B14" i="59"/>
  <c r="B15" i="59" s="1"/>
  <c r="B16" i="59" s="1"/>
  <c r="S16" i="59" s="1"/>
  <c r="X13" i="59"/>
  <c r="E14" i="59"/>
  <c r="E15" i="59" s="1"/>
  <c r="E16" i="59" s="1"/>
  <c r="U16" i="59" s="1"/>
  <c r="AA13" i="59"/>
  <c r="F14" i="59"/>
  <c r="F15" i="59" s="1"/>
  <c r="F16" i="59" s="1"/>
  <c r="V16" i="59" s="1"/>
  <c r="Y14" i="59"/>
  <c r="Z14" i="59" s="1"/>
  <c r="AB14" i="59"/>
  <c r="Y15" i="59"/>
  <c r="Z15" i="59" s="1"/>
  <c r="AB15" i="59"/>
  <c r="Y16" i="59"/>
  <c r="Z16" i="59" s="1"/>
  <c r="AB16" i="59"/>
  <c r="B18" i="59"/>
  <c r="B19" i="59" s="1"/>
  <c r="B20" i="59" s="1"/>
  <c r="S20" i="59" s="1"/>
  <c r="X17" i="59"/>
  <c r="E18" i="59"/>
  <c r="E19" i="59" s="1"/>
  <c r="E20" i="59" s="1"/>
  <c r="U20" i="59" s="1"/>
  <c r="AA17" i="59"/>
  <c r="F18" i="59"/>
  <c r="F19" i="59" s="1"/>
  <c r="F20" i="59" s="1"/>
  <c r="V20" i="59" s="1"/>
  <c r="Y18" i="59"/>
  <c r="Z18" i="59" s="1"/>
  <c r="AB18" i="59"/>
  <c r="B23" i="59"/>
  <c r="B24" i="59" s="1"/>
  <c r="S24" i="59" s="1"/>
  <c r="E23" i="59"/>
  <c r="E24" i="59" s="1"/>
  <c r="U24" i="59" s="1"/>
  <c r="B27" i="59"/>
  <c r="B28" i="59" s="1"/>
  <c r="S28" i="59" s="1"/>
  <c r="E27" i="59"/>
  <c r="E28" i="59" s="1"/>
  <c r="U28" i="59" s="1"/>
  <c r="B31" i="59"/>
  <c r="B32" i="59" s="1"/>
  <c r="S32" i="59" s="1"/>
  <c r="B36" i="59"/>
  <c r="S36" i="59" s="1"/>
  <c r="B40" i="59"/>
  <c r="S40" i="59" s="1"/>
  <c r="B44" i="59"/>
  <c r="S44" i="59" s="1"/>
  <c r="E46" i="59"/>
  <c r="P45" i="59" s="1"/>
  <c r="P48" i="59"/>
  <c r="U48" i="59"/>
  <c r="C8" i="59"/>
  <c r="T8" i="59" s="1"/>
  <c r="Y3" i="59"/>
  <c r="Z3" i="59" s="1"/>
  <c r="Y5" i="59"/>
  <c r="Z5" i="59" s="1"/>
  <c r="Y6" i="59"/>
  <c r="Z6" i="59" s="1"/>
  <c r="Y8" i="59"/>
  <c r="Z8" i="59" s="1"/>
  <c r="Y7" i="59"/>
  <c r="Z7" i="59" s="1"/>
  <c r="B8" i="59"/>
  <c r="X8" i="59"/>
  <c r="X7" i="59"/>
  <c r="X3" i="59"/>
  <c r="X5" i="59"/>
  <c r="X6" i="59"/>
  <c r="D10" i="59"/>
  <c r="D14"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Z25" i="40"/>
  <c r="Q25" i="40"/>
  <c r="E94" i="40"/>
  <c r="F94" i="40" s="1"/>
  <c r="D94" i="40"/>
  <c r="H25" i="40"/>
  <c r="U25" i="40" s="1"/>
  <c r="F25" i="40"/>
  <c r="AA25" i="40" s="1"/>
  <c r="C25" i="40"/>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E21" i="21" s="1"/>
  <c r="G21" i="21" s="1"/>
  <c r="I21" i="21" s="1"/>
  <c r="G20" i="20"/>
  <c r="B86" i="43" s="1"/>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W30" i="36" s="1"/>
  <c r="H30" i="36"/>
  <c r="F30" i="36"/>
  <c r="AA30" i="36" s="1"/>
  <c r="C79" i="35"/>
  <c r="J31" i="35"/>
  <c r="H31" i="35"/>
  <c r="AB31" i="35" s="1"/>
  <c r="F31" i="35"/>
  <c r="AA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E15" i="21" s="1"/>
  <c r="G15" i="21" s="1"/>
  <c r="I15" i="21" s="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H15" i="21"/>
  <c r="U15" i="21" s="1"/>
  <c r="B130" i="21"/>
  <c r="B128" i="21"/>
  <c r="F45" i="21" s="1"/>
  <c r="B126" i="21"/>
  <c r="B98" i="21"/>
  <c r="J31" i="21" s="1"/>
  <c r="W31" i="21" s="1"/>
  <c r="B96" i="21"/>
  <c r="B94" i="21"/>
  <c r="H29" i="21" s="1"/>
  <c r="B92" i="21"/>
  <c r="B90" i="21"/>
  <c r="H27" i="21" s="1"/>
  <c r="AB27" i="21" s="1"/>
  <c r="B74" i="21"/>
  <c r="B72" i="21"/>
  <c r="H13" i="21" s="1"/>
  <c r="B70" i="21"/>
  <c r="F12" i="21"/>
  <c r="F10" i="21"/>
  <c r="AA10" i="21" s="1"/>
  <c r="C19" i="21"/>
  <c r="E19" i="21" s="1"/>
  <c r="G19" i="21" s="1"/>
  <c r="I19" i="21" s="1"/>
  <c r="C17" i="21"/>
  <c r="E17" i="21" s="1"/>
  <c r="G17" i="21" s="1"/>
  <c r="I17" i="21" s="1"/>
  <c r="C23" i="21"/>
  <c r="E23" i="21" s="1"/>
  <c r="G23" i="21" s="1"/>
  <c r="I23" i="21" s="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F19" i="21"/>
  <c r="J12" i="21"/>
  <c r="AC12" i="21" s="1"/>
  <c r="H12" i="21"/>
  <c r="AB12" i="21" s="1"/>
  <c r="F26" i="21"/>
  <c r="S26" i="21" s="1"/>
  <c r="AA41" i="21"/>
  <c r="W41" i="21"/>
  <c r="F45" i="39"/>
  <c r="S45" i="39" s="1"/>
  <c r="J45" i="39"/>
  <c r="W45" i="39"/>
  <c r="J44" i="39"/>
  <c r="F36" i="39"/>
  <c r="H36" i="39"/>
  <c r="AB36" i="39" s="1"/>
  <c r="J36" i="39"/>
  <c r="AC36" i="39" s="1"/>
  <c r="S8" i="39"/>
  <c r="U38" i="39"/>
  <c r="H32" i="37"/>
  <c r="AB32" i="37" s="1"/>
  <c r="U8" i="37"/>
  <c r="W31" i="37"/>
  <c r="F39" i="37"/>
  <c r="S39" i="37" s="1"/>
  <c r="S30" i="37"/>
  <c r="F29" i="36"/>
  <c r="AA29" i="36" s="1"/>
  <c r="F16" i="36"/>
  <c r="S16" i="36" s="1"/>
  <c r="U22" i="36"/>
  <c r="S23" i="36"/>
  <c r="W23" i="36"/>
  <c r="AA31" i="36"/>
  <c r="W31" i="36"/>
  <c r="U31" i="36"/>
  <c r="J33" i="36"/>
  <c r="AB34" i="36"/>
  <c r="H22" i="35"/>
  <c r="AB22" i="35" s="1"/>
  <c r="U31" i="35"/>
  <c r="S32" i="35"/>
  <c r="U32" i="35"/>
  <c r="F36" i="34"/>
  <c r="AA36" i="34" s="1"/>
  <c r="U39" i="34"/>
  <c r="H39" i="33"/>
  <c r="AB39" i="33" s="1"/>
  <c r="F26" i="33"/>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G103" i="39" s="1"/>
  <c r="H29" i="39"/>
  <c r="U29" i="39" s="1"/>
  <c r="J19" i="39"/>
  <c r="AC19" i="39" s="1"/>
  <c r="J17" i="39"/>
  <c r="W17" i="39" s="1"/>
  <c r="J29" i="39"/>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c r="U30" i="36"/>
  <c r="J30" i="35"/>
  <c r="H30" i="35"/>
  <c r="AB30" i="35" s="1"/>
  <c r="F22" i="35"/>
  <c r="AA22" i="35" s="1"/>
  <c r="H10" i="35"/>
  <c r="U10" i="35" s="1"/>
  <c r="U33" i="36"/>
  <c r="AB29" i="36"/>
  <c r="F33" i="36"/>
  <c r="S33" i="36" s="1"/>
  <c r="J29" i="36"/>
  <c r="AC29" i="36" s="1"/>
  <c r="F12" i="36"/>
  <c r="AA12" i="36" s="1"/>
  <c r="F34" i="36"/>
  <c r="AA34" i="36" s="1"/>
  <c r="H20" i="36"/>
  <c r="J20" i="36"/>
  <c r="W20" i="36" s="1"/>
  <c r="F14" i="35"/>
  <c r="F23" i="35"/>
  <c r="AA23" i="35" s="1"/>
  <c r="J32" i="35"/>
  <c r="AC32" i="35" s="1"/>
  <c r="J16" i="35"/>
  <c r="W16" i="35" s="1"/>
  <c r="H14" i="35"/>
  <c r="AB14" i="35" s="1"/>
  <c r="H33" i="35"/>
  <c r="AB33" i="35" s="1"/>
  <c r="S8" i="35"/>
  <c r="W8" i="35"/>
  <c r="J20" i="35"/>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s="1"/>
  <c r="E114" i="34"/>
  <c r="F38" i="34"/>
  <c r="AA38" i="34" s="1"/>
  <c r="F114" i="34"/>
  <c r="G114" i="34" s="1"/>
  <c r="H114" i="34" s="1"/>
  <c r="I114" i="34" s="1"/>
  <c r="J114" i="34" s="1"/>
  <c r="K114" i="34" s="1"/>
  <c r="L114" i="34" s="1"/>
  <c r="M114" i="34" s="1"/>
  <c r="F28" i="34"/>
  <c r="J19" i="34"/>
  <c r="W19" i="34" s="1"/>
  <c r="J15" i="34"/>
  <c r="AC15" i="34" s="1"/>
  <c r="H15" i="34"/>
  <c r="AB15" i="34" s="1"/>
  <c r="J10" i="34"/>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J10" i="35"/>
  <c r="AC10" i="35" s="1"/>
  <c r="J14" i="21"/>
  <c r="W14" i="21" s="1"/>
  <c r="F14" i="21"/>
  <c r="S14" i="21" s="1"/>
  <c r="H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H14" i="34"/>
  <c r="U14" i="34" s="1"/>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W12" i="40"/>
  <c r="F14" i="33"/>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J13" i="40"/>
  <c r="W13" i="40" s="1"/>
  <c r="F14" i="37"/>
  <c r="S14" i="37" s="1"/>
  <c r="J13" i="39"/>
  <c r="W13" i="39" s="1"/>
  <c r="H14" i="40"/>
  <c r="AB14" i="40" s="1"/>
  <c r="J14" i="40"/>
  <c r="W14" i="40" s="1"/>
  <c r="F14" i="40"/>
  <c r="AA14" i="40" s="1"/>
  <c r="J14" i="37"/>
  <c r="AC14" i="37" s="1"/>
  <c r="W13" i="35"/>
  <c r="AB37" i="37"/>
  <c r="W28" i="37"/>
  <c r="W30" i="33"/>
  <c r="AC32" i="34"/>
  <c r="AC14" i="34"/>
  <c r="J10" i="36"/>
  <c r="AB46" i="21"/>
  <c r="AC14" i="21"/>
  <c r="AC13" i="36"/>
  <c r="U32" i="36"/>
  <c r="U31"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B20" i="35"/>
  <c r="AA11" i="35"/>
  <c r="AC12" i="35"/>
  <c r="AC8" i="37"/>
  <c r="S25" i="37"/>
  <c r="AB8" i="34"/>
  <c r="AA13" i="33"/>
  <c r="AC31" i="33"/>
  <c r="AA30" i="33"/>
  <c r="AB10" i="33"/>
  <c r="S11" i="33"/>
  <c r="AC33" i="21"/>
  <c r="AA23" i="37"/>
  <c r="W38" i="37"/>
  <c r="J37" i="21"/>
  <c r="W37" i="21" s="1"/>
  <c r="H19" i="34"/>
  <c r="U19" i="34" s="1"/>
  <c r="F36" i="35"/>
  <c r="AA36" i="35" s="1"/>
  <c r="J9" i="37"/>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F15" i="47" s="1"/>
  <c r="B13" i="47" s="1"/>
  <c r="D26" i="47"/>
  <c r="D28" i="47"/>
  <c r="F26" i="47" s="1"/>
  <c r="B24" i="47" s="1"/>
  <c r="D30" i="47"/>
  <c r="D32" i="47"/>
  <c r="D34" i="47"/>
  <c r="D38" i="47"/>
  <c r="D40" i="47"/>
  <c r="D42" i="47"/>
  <c r="D44" i="47"/>
  <c r="D9" i="47"/>
  <c r="F4" i="47" s="1"/>
  <c r="B2" i="47" s="1"/>
  <c r="D8" i="47"/>
  <c r="D6" i="47"/>
  <c r="H19" i="40"/>
  <c r="AB19" i="40" s="1"/>
  <c r="F19" i="40"/>
  <c r="S19" i="40" s="1"/>
  <c r="S17" i="39"/>
  <c r="AC43" i="39"/>
  <c r="W43" i="39"/>
  <c r="U45" i="39"/>
  <c r="AB45" i="39"/>
  <c r="AB44" i="39"/>
  <c r="U44"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AB25" i="39"/>
  <c r="W21" i="39"/>
  <c r="J11" i="39"/>
  <c r="W11" i="39" s="1"/>
  <c r="J32" i="39"/>
  <c r="AC32" i="39" s="1"/>
  <c r="AA15" i="39"/>
  <c r="E66" i="39"/>
  <c r="E61" i="40"/>
  <c r="C21" i="11"/>
  <c r="H55" i="39"/>
  <c r="S30" i="40"/>
  <c r="G60" i="40"/>
  <c r="C60" i="40" s="1"/>
  <c r="H16" i="44"/>
  <c r="I17" i="43"/>
  <c r="D108" i="9"/>
  <c r="F22" i="43"/>
  <c r="B56" i="60"/>
  <c r="G22" i="43"/>
  <c r="E22" i="43"/>
  <c r="H14" i="44"/>
  <c r="B57" i="60"/>
  <c r="W40" i="39"/>
  <c r="S39" i="34"/>
  <c r="AB30" i="34"/>
  <c r="AB12" i="34"/>
  <c r="AC30" i="34"/>
  <c r="H23" i="34"/>
  <c r="AB23" i="34" s="1"/>
  <c r="F33" i="34"/>
  <c r="S33" i="34" s="1"/>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J17" i="21"/>
  <c r="AC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B15" i="21"/>
  <c r="AA16" i="35"/>
  <c r="S14" i="39"/>
  <c r="U29" i="35"/>
  <c r="AB21" i="39"/>
  <c r="U25" i="35"/>
  <c r="W44" i="33"/>
  <c r="U36" i="37"/>
  <c r="AB46" i="34"/>
  <c r="S14" i="34"/>
  <c r="AA14" i="34"/>
  <c r="W44" i="21"/>
  <c r="AB38" i="34"/>
  <c r="U38" i="34"/>
  <c r="F40" i="34"/>
  <c r="AA40" i="34" s="1"/>
  <c r="U20" i="36"/>
  <c r="AB20" i="36"/>
  <c r="AA16" i="36"/>
  <c r="AC44" i="39"/>
  <c r="W44" i="39"/>
  <c r="J13" i="21"/>
  <c r="W13" i="21" s="1"/>
  <c r="J45" i="21"/>
  <c r="AC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W12" i="39" s="1"/>
  <c r="F12" i="39"/>
  <c r="S12" i="39" s="1"/>
  <c r="R29" i="31"/>
  <c r="T29" i="31" s="1"/>
  <c r="B103" i="9"/>
  <c r="F15" i="21"/>
  <c r="S15" i="21" s="1"/>
  <c r="C106" i="9"/>
  <c r="H102" i="9" s="1"/>
  <c r="J36" i="34"/>
  <c r="W36" i="34" s="1"/>
  <c r="S8" i="34"/>
  <c r="J19" i="40"/>
  <c r="AC19" i="40" s="1"/>
  <c r="W9" i="39"/>
  <c r="U14" i="39"/>
  <c r="H32" i="39"/>
  <c r="U32" i="39" s="1"/>
  <c r="F21" i="39"/>
  <c r="AA21" i="39" s="1"/>
  <c r="F37" i="47"/>
  <c r="B35" i="47" s="1"/>
  <c r="F31" i="37"/>
  <c r="AA31" i="37" s="1"/>
  <c r="U25" i="36"/>
  <c r="S44" i="21"/>
  <c r="AC36" i="40"/>
  <c r="F17" i="37"/>
  <c r="AA17" i="37" s="1"/>
  <c r="AA29" i="33"/>
  <c r="AB28" i="36"/>
  <c r="U33" i="40"/>
  <c r="S12" i="40"/>
  <c r="AB13" i="37"/>
  <c r="U11" i="36"/>
  <c r="AB11" i="35"/>
  <c r="U32" i="34"/>
  <c r="AA30" i="34"/>
  <c r="J14" i="36"/>
  <c r="AC14" i="36" s="1"/>
  <c r="AA30" i="35"/>
  <c r="AC30" i="21"/>
  <c r="S15" i="34"/>
  <c r="J40" i="34"/>
  <c r="AC40" i="34" s="1"/>
  <c r="S37" i="40"/>
  <c r="H19" i="33"/>
  <c r="AB19" i="33" s="1"/>
  <c r="AB23" i="33"/>
  <c r="U23" i="33"/>
  <c r="W23" i="33"/>
  <c r="AA41" i="33"/>
  <c r="J23" i="34"/>
  <c r="W23" i="34" s="1"/>
  <c r="AC30" i="40"/>
  <c r="AB17" i="39"/>
  <c r="W22" i="35"/>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AB12" i="40"/>
  <c r="U12" i="40"/>
  <c r="AC14" i="39"/>
  <c r="AC46" i="34"/>
  <c r="AA32" i="34"/>
  <c r="S31" i="33"/>
  <c r="U10" i="36"/>
  <c r="W28" i="33"/>
  <c r="W34" i="33"/>
  <c r="AC34" i="33"/>
  <c r="AA14" i="35"/>
  <c r="S14" i="35"/>
  <c r="W11" i="21"/>
  <c r="AA45" i="39"/>
  <c r="J27" i="21"/>
  <c r="W27" i="21" s="1"/>
  <c r="J29" i="21"/>
  <c r="AC29" i="21" s="1"/>
  <c r="H31" i="21"/>
  <c r="U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S37" i="34"/>
  <c r="H27" i="36"/>
  <c r="AB27" i="36" s="1"/>
  <c r="F27" i="36"/>
  <c r="AA27" i="36" s="1"/>
  <c r="J28" i="34"/>
  <c r="W28" i="34" s="1"/>
  <c r="H11" i="34"/>
  <c r="U11" i="34" s="1"/>
  <c r="S17" i="37"/>
  <c r="J11" i="37"/>
  <c r="AC11" i="37" s="1"/>
  <c r="AC36" i="34"/>
  <c r="AC12" i="39"/>
  <c r="AC37" i="37"/>
  <c r="U38" i="40"/>
  <c r="F23" i="39"/>
  <c r="AA23" i="39" s="1"/>
  <c r="S26" i="37"/>
  <c r="S24" i="36"/>
  <c r="F44" i="34"/>
  <c r="AA44" i="34" s="1"/>
  <c r="J44" i="34"/>
  <c r="AC44" i="34" s="1"/>
  <c r="W27" i="37"/>
  <c r="AB27" i="37"/>
  <c r="H60" i="37"/>
  <c r="I60" i="37" s="1"/>
  <c r="H10" i="37"/>
  <c r="U10" i="37" s="1"/>
  <c r="S24" i="35"/>
  <c r="AA27" i="33"/>
  <c r="AB43" i="33"/>
  <c r="W27" i="36"/>
  <c r="F101" i="33"/>
  <c r="G101" i="33" s="1"/>
  <c r="H101" i="33" s="1"/>
  <c r="I101" i="33" s="1"/>
  <c r="J101" i="33" s="1"/>
  <c r="K101" i="33" s="1"/>
  <c r="L101" i="33" s="1"/>
  <c r="M101" i="33" s="1"/>
  <c r="J32" i="33"/>
  <c r="W32" i="33" s="1"/>
  <c r="H32" i="33"/>
  <c r="AB32" i="33" s="1"/>
  <c r="W40" i="34"/>
  <c r="U12" i="36"/>
  <c r="W45" i="21"/>
  <c r="AC13" i="21"/>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W29" i="21" l="1"/>
  <c r="F29" i="21"/>
  <c r="AA30" i="21"/>
  <c r="U13" i="21"/>
  <c r="AB13" i="21"/>
  <c r="U29" i="21"/>
  <c r="AB29" i="21"/>
  <c r="AA45" i="21"/>
  <c r="S45" i="21"/>
  <c r="W20" i="35"/>
  <c r="AC20" i="35"/>
  <c r="W33" i="36"/>
  <c r="AC33" i="36"/>
  <c r="AA19" i="21"/>
  <c r="S19" i="21"/>
  <c r="F81" i="21"/>
  <c r="G81" i="21" s="1"/>
  <c r="H19" i="21"/>
  <c r="AB19" i="21" s="1"/>
  <c r="E89" i="21"/>
  <c r="F89" i="21" s="1"/>
  <c r="G89" i="21" s="1"/>
  <c r="H89" i="21" s="1"/>
  <c r="I89" i="21" s="1"/>
  <c r="J89" i="21" s="1"/>
  <c r="K89" i="21" s="1"/>
  <c r="L89" i="21" s="1"/>
  <c r="M89" i="21" s="1"/>
  <c r="H26" i="21"/>
  <c r="AB26" i="21" s="1"/>
  <c r="J26" i="21"/>
  <c r="W26" i="21" s="1"/>
  <c r="F9" i="21"/>
  <c r="J9" i="21"/>
  <c r="H9" i="21"/>
  <c r="AB9" i="21" s="1"/>
  <c r="AC39" i="40"/>
  <c r="W39" i="40"/>
  <c r="H39" i="40"/>
  <c r="U39" i="40" s="1"/>
  <c r="F39" i="40"/>
  <c r="W9" i="37"/>
  <c r="AC9" i="37"/>
  <c r="AC10" i="36"/>
  <c r="W10" i="36"/>
  <c r="AA26" i="33"/>
  <c r="S26" i="33"/>
  <c r="S36" i="39"/>
  <c r="AA36" i="39"/>
  <c r="AA12" i="21"/>
  <c r="S12" i="21"/>
  <c r="H13" i="40"/>
  <c r="F13" i="40"/>
  <c r="AC31" i="35"/>
  <c r="W31" i="35"/>
  <c r="AC11" i="34"/>
  <c r="U9" i="34"/>
  <c r="U31" i="37"/>
  <c r="W9" i="34"/>
  <c r="AA12" i="37"/>
  <c r="AB35" i="39"/>
  <c r="AB24" i="36"/>
  <c r="W40" i="40"/>
  <c r="M105" i="43"/>
  <c r="F107" i="43"/>
  <c r="F31" i="21"/>
  <c r="F27" i="21"/>
  <c r="AA27" i="21" s="1"/>
  <c r="AA32" i="37"/>
  <c r="S30" i="36"/>
  <c r="H45" i="21"/>
  <c r="F13" i="21"/>
  <c r="AA13" i="21" s="1"/>
  <c r="AA35" i="39"/>
  <c r="C113" i="57"/>
  <c r="H108" i="57" s="1"/>
  <c r="H17" i="21"/>
  <c r="AB17" i="21" s="1"/>
  <c r="F17" i="21"/>
  <c r="AA17" i="21" s="1"/>
  <c r="AC37" i="34"/>
  <c r="AC13" i="39"/>
  <c r="AA28" i="37"/>
  <c r="S28" i="37"/>
  <c r="AA47" i="34"/>
  <c r="S47" i="34"/>
  <c r="AA14" i="33"/>
  <c r="S14" i="33"/>
  <c r="W11" i="36"/>
  <c r="AC11" i="36"/>
  <c r="U45" i="33"/>
  <c r="AB45" i="33"/>
  <c r="AB14" i="21"/>
  <c r="U14" i="21"/>
  <c r="AA25" i="33"/>
  <c r="S25" i="33"/>
  <c r="W10" i="34"/>
  <c r="AC10" i="34"/>
  <c r="AA28" i="34"/>
  <c r="S28" i="34"/>
  <c r="W30" i="35"/>
  <c r="AC30" i="35"/>
  <c r="AC29" i="39"/>
  <c r="W29" i="39"/>
  <c r="S31" i="35"/>
  <c r="U41" i="21"/>
  <c r="J19" i="21"/>
  <c r="W19" i="21" s="1"/>
  <c r="AB33" i="21"/>
  <c r="U33" i="21"/>
  <c r="AB9" i="35"/>
  <c r="U9" i="35"/>
  <c r="J9" i="35"/>
  <c r="F9" i="35"/>
  <c r="J12" i="33"/>
  <c r="W12" i="33" s="1"/>
  <c r="F12" i="33"/>
  <c r="H12" i="33"/>
  <c r="H14" i="33"/>
  <c r="J14" i="33"/>
  <c r="H44" i="33"/>
  <c r="F44" i="33"/>
  <c r="AA46" i="33"/>
  <c r="S46" i="33"/>
  <c r="H13" i="34"/>
  <c r="U13" i="34" s="1"/>
  <c r="F13" i="34"/>
  <c r="AA13" i="34" s="1"/>
  <c r="J31" i="34"/>
  <c r="AC31" i="34" s="1"/>
  <c r="F31" i="34"/>
  <c r="S31" i="34" s="1"/>
  <c r="H47" i="34"/>
  <c r="U47" i="34" s="1"/>
  <c r="J47" i="34"/>
  <c r="U8" i="36"/>
  <c r="AB8" i="36"/>
  <c r="AC22" i="36"/>
  <c r="W22" i="36"/>
  <c r="AC30" i="37"/>
  <c r="W30" i="37"/>
  <c r="AB14" i="37"/>
  <c r="U14" i="37"/>
  <c r="J39" i="37"/>
  <c r="AC39" i="37" s="1"/>
  <c r="H39" i="37"/>
  <c r="AC8" i="39"/>
  <c r="W8" i="39"/>
  <c r="F13" i="39"/>
  <c r="AA13" i="39" s="1"/>
  <c r="H13" i="39"/>
  <c r="U13" i="39" s="1"/>
  <c r="I21" i="58"/>
  <c r="D1" i="58" s="1"/>
  <c r="E10" i="58" s="1"/>
  <c r="H25" i="37"/>
  <c r="J25" i="37"/>
  <c r="AC25" i="37" s="1"/>
  <c r="U25" i="31"/>
  <c r="C35" i="57" s="1"/>
  <c r="D124" i="57" s="1"/>
  <c r="D125" i="57" s="1"/>
  <c r="AC38" i="21"/>
  <c r="AB38" i="21"/>
  <c r="H42" i="21"/>
  <c r="F42" i="21"/>
  <c r="S40" i="21"/>
  <c r="AB34" i="21"/>
  <c r="W17" i="21"/>
  <c r="H37" i="21"/>
  <c r="U37" i="21" s="1"/>
  <c r="F37" i="21"/>
  <c r="U28" i="21"/>
  <c r="S23" i="21"/>
  <c r="W43" i="21"/>
  <c r="S38" i="21"/>
  <c r="AB37" i="21"/>
  <c r="U35" i="21"/>
  <c r="AC27" i="21"/>
  <c r="W25" i="21"/>
  <c r="AC15" i="21"/>
  <c r="B74" i="43"/>
  <c r="C27" i="39"/>
  <c r="H56" i="43"/>
  <c r="E17" i="43"/>
  <c r="F3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29" i="21" l="1"/>
  <c r="AA29" i="21"/>
  <c r="AC19" i="21"/>
  <c r="AC26" i="21"/>
  <c r="W31" i="34"/>
  <c r="S13" i="39"/>
  <c r="AB39" i="40"/>
  <c r="AB39" i="37"/>
  <c r="U39" i="37"/>
  <c r="AC47" i="34"/>
  <c r="W47" i="34"/>
  <c r="S44" i="33"/>
  <c r="AA44" i="33"/>
  <c r="AC14" i="33"/>
  <c r="W14" i="33"/>
  <c r="U12" i="33"/>
  <c r="AB12" i="33"/>
  <c r="AC9" i="35"/>
  <c r="W9" i="35"/>
  <c r="AA13" i="40"/>
  <c r="S13" i="40"/>
  <c r="AA39" i="40"/>
  <c r="S39" i="40"/>
  <c r="S9" i="21"/>
  <c r="AA9" i="21"/>
  <c r="U25" i="37"/>
  <c r="AB25" i="37"/>
  <c r="AB44" i="33"/>
  <c r="U44" i="33"/>
  <c r="U14" i="33"/>
  <c r="AB14" i="33"/>
  <c r="S12" i="33"/>
  <c r="AA12" i="33"/>
  <c r="AA9" i="35"/>
  <c r="S9" i="35"/>
  <c r="AB45" i="21"/>
  <c r="U45" i="21"/>
  <c r="AA31" i="21"/>
  <c r="S31" i="21"/>
  <c r="U13" i="40"/>
  <c r="AB13" i="40"/>
  <c r="W9" i="21"/>
  <c r="AC9" i="21"/>
  <c r="AA42" i="21"/>
  <c r="S42" i="21"/>
  <c r="AB42" i="21"/>
  <c r="U42" i="21"/>
  <c r="AA37" i="21"/>
  <c r="S37" i="21"/>
  <c r="M60" i="15"/>
  <c r="C6"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11"/>
  <c r="E2" i="33"/>
  <c r="E2" i="37"/>
  <c r="E2" i="35"/>
  <c r="E2" i="36"/>
  <c r="E2" i="21"/>
  <c r="C20" i="57"/>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D107" i="9" s="1"/>
  <c r="C8" i="62" l="1"/>
  <c r="D8" i="62"/>
  <c r="H121" i="9"/>
  <c r="C103" i="9" s="1"/>
  <c r="D121" i="9"/>
  <c r="D122" i="9" s="1"/>
  <c r="D5" i="52" s="1"/>
  <c r="B39" i="60" s="1"/>
  <c r="F121" i="9"/>
  <c r="F122" i="9" s="1"/>
  <c r="F5" i="52" s="1"/>
  <c r="B42" i="60" s="1"/>
  <c r="I4" i="52"/>
  <c r="I103" i="9"/>
  <c r="C104" i="9"/>
  <c r="I102" i="9" l="1"/>
  <c r="I110" i="9" s="1"/>
  <c r="D4" i="52"/>
  <c r="B37" i="60" s="1"/>
  <c r="H4" i="52"/>
  <c r="D14" i="62"/>
  <c r="H122" i="9"/>
  <c r="H5" i="52" s="1"/>
  <c r="D106" i="9"/>
  <c r="D112" i="9" s="1"/>
  <c r="D113" i="9" s="1"/>
  <c r="F4" i="52"/>
  <c r="B40" i="60" s="1"/>
  <c r="D117" i="9"/>
  <c r="D30" i="50"/>
  <c r="D9" i="50"/>
  <c r="B21" i="60" s="1"/>
  <c r="D28" i="50"/>
  <c r="D29" i="50" s="1"/>
  <c r="D7" i="50" l="1"/>
  <c r="D8" i="50" s="1"/>
  <c r="B22" i="60" s="1"/>
  <c r="D45" i="9"/>
  <c r="C72" i="9" s="1"/>
  <c r="M48" i="9"/>
  <c r="E14" i="62"/>
  <c r="F14" i="62"/>
  <c r="B5" i="62"/>
  <c r="D125" i="9"/>
  <c r="D36" i="50"/>
  <c r="D37" i="50" s="1"/>
  <c r="D15" i="50"/>
  <c r="D38" i="50"/>
  <c r="B62" i="60" s="1"/>
  <c r="I111" i="9"/>
  <c r="D52" i="9"/>
  <c r="I115" i="9"/>
  <c r="D23" i="50" s="1"/>
  <c r="B34" i="60" s="1"/>
  <c r="D44" i="50"/>
  <c r="C64" i="9" l="1"/>
  <c r="C63" i="9" s="1"/>
  <c r="C67" i="9" s="1"/>
  <c r="C68" i="9" s="1"/>
  <c r="D54" i="9" s="1"/>
  <c r="C85" i="9"/>
  <c r="C78" i="9"/>
  <c r="C73" i="9" s="1"/>
  <c r="C79" i="9" s="1"/>
  <c r="D55" i="9"/>
  <c r="M53" i="9" s="1"/>
  <c r="B19" i="60"/>
  <c r="D59" i="9"/>
  <c r="M55" i="9" s="1"/>
  <c r="C93" i="9"/>
  <c r="C86" i="9" s="1"/>
  <c r="D53" i="9"/>
  <c r="D48" i="9" s="1"/>
  <c r="M52" i="9" s="1"/>
  <c r="D8" i="52"/>
  <c r="G14" i="62"/>
  <c r="B6" i="62" s="1"/>
  <c r="D5" i="62"/>
  <c r="C5" i="62"/>
  <c r="D126" i="9"/>
  <c r="D9" i="52" s="1"/>
  <c r="D17" i="50"/>
  <c r="B29" i="60"/>
  <c r="D16" i="50"/>
  <c r="B30" i="60" s="1"/>
  <c r="C95" i="9" l="1"/>
  <c r="D6" i="62"/>
  <c r="C6" i="62"/>
  <c r="C80" i="9"/>
  <c r="E80" i="9" s="1"/>
  <c r="E81" i="9" s="1"/>
  <c r="C81" i="9" l="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<sst xmlns="http://schemas.openxmlformats.org/spreadsheetml/2006/main" count="6856" uniqueCount="2894">
  <si>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</si>
  <si>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</si>
  <si>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</si>
  <si>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</si>
  <si>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</si>
  <si>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</si>
  <si>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</si>
  <si>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</si>
  <si>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</si>
  <si>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</si>
  <si>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</si>
  <si>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</si>
  <si>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</si>
  <si>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</si>
  <si>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</si>
  <si>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</si>
  <si>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</si>
  <si>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</si>
  <si>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</si>
  <si>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</si>
  <si>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</si>
  <si>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</si>
  <si>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</si>
  <si>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</si>
  <si>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</si>
  <si>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</si>
  <si>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</si>
  <si>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</si>
  <si>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</si>
  <si>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</si>
  <si>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</si>
  <si>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</si>
  <si>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</si>
  <si>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</si>
  <si>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</si>
  <si>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</si>
  <si>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</si>
  <si>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</si>
  <si>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</si>
  <si>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</si>
  <si>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</si>
  <si>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</si>
  <si>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</si>
  <si>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</si>
  <si>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</si>
  <si>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</si>
  <si>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</si>
  <si>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</si>
  <si>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</si>
  <si>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</si>
  <si>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</si>
  <si>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</si>
  <si>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</si>
  <si>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</si>
  <si>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</si>
  <si>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</si>
  <si>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</si>
  <si>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</si>
  <si>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</si>
  <si>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</si>
  <si>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</si>
  <si>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</si>
  <si>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</si>
  <si>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</si>
  <si>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</si>
  <si>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</si>
  <si>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</si>
  <si>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</si>
  <si>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</si>
  <si>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</si>
  <si>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</si>
  <si>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</si>
  <si>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</si>
  <si>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</si>
  <si>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</si>
  <si>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</si>
  <si>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</si>
  <si>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</si>
  <si>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</si>
  <si>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</si>
  <si>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</si>
  <si>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</si>
  <si>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</si>
  <si>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</si>
  <si>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</si>
  <si>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</si>
  <si>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</si>
  <si>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</si>
  <si>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</si>
  <si>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</si>
  <si>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</si>
  <si>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</si>
  <si>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</si>
  <si>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</si>
  <si>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</si>
  <si>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</si>
  <si>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</si>
  <si>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</si>
  <si>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</si>
  <si>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</si>
  <si>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</si>
  <si>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</si>
  <si>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</si>
  <si>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</si>
  <si>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</si>
  <si>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</si>
  <si>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</si>
  <si>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</si>
  <si>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</si>
  <si>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</si>
  <si>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</si>
  <si>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</si>
  <si>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</si>
  <si>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</si>
  <si>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</si>
  <si>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</si>
  <si>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</si>
  <si>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</si>
  <si>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</si>
  <si>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</si>
  <si>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</si>
  <si>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</si>
  <si>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</si>
  <si>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</si>
  <si>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</si>
  <si>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</si>
  <si>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</si>
  <si>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</si>
  <si>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</si>
  <si>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</si>
  <si>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</si>
  <si>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</si>
  <si>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</si>
  <si>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</si>
  <si>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</si>
  <si>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</si>
  <si>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</si>
  <si>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</si>
  <si>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</si>
  <si>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</si>
  <si>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</si>
  <si>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</si>
  <si>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</si>
  <si>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</si>
  <si>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</si>
  <si>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</si>
  <si>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</si>
  <si>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</si>
  <si>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</si>
  <si>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</si>
  <si>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</si>
  <si>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</si>
  <si>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</si>
  <si>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</si>
  <si>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</si>
  <si>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</si>
  <si>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</si>
  <si>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</si>
  <si>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</si>
  <si>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</si>
  <si>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</si>
  <si>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</si>
  <si>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</si>
  <si>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</si>
  <si>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</si>
  <si>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</si>
  <si>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</si>
  <si>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</si>
  <si>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</si>
  <si>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</si>
  <si>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</si>
  <si>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</si>
  <si>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</si>
  <si>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</si>
  <si>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</si>
  <si>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</si>
  <si>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</si>
  <si>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</si>
  <si>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</si>
  <si>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</si>
  <si>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</si>
  <si>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</si>
  <si>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</si>
  <si>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</si>
  <si>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</si>
  <si>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</si>
  <si>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</si>
  <si>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</si>
  <si>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</si>
  <si>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</si>
  <si>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</si>
  <si>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</si>
  <si>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</si>
  <si>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</si>
  <si>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</si>
  <si>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</si>
  <si>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</si>
  <si>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</si>
  <si>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</si>
  <si>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</si>
  <si>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</si>
  <si>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</si>
  <si>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</si>
  <si>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</si>
  <si>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</si>
  <si>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</si>
  <si>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</si>
  <si>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</si>
  <si>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</si>
  <si>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</si>
  <si>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</si>
  <si>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</si>
  <si>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</si>
  <si>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</si>
  <si>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</si>
  <si>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</si>
  <si>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</si>
  <si>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</si>
  <si>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</si>
  <si>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</si>
  <si>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</si>
  <si>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</si>
  <si>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</si>
  <si>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</si>
  <si>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</si>
  <si>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</si>
  <si>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</si>
  <si>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</si>
  <si>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</si>
  <si>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</si>
  <si>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</si>
  <si>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</si>
  <si>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</si>
  <si>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</si>
  <si>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</si>
  <si>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</si>
  <si>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</si>
  <si>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</si>
  <si>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</si>
  <si>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</si>
  <si>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</si>
  <si>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</si>
  <si>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</si>
  <si>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</si>
  <si>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</si>
  <si>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</si>
  <si>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</si>
  <si>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</si>
  <si>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</si>
  <si>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</si>
  <si>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</si>
  <si>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</si>
  <si>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</si>
  <si>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</si>
  <si>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</si>
  <si>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</si>
  <si>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</si>
  <si>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</si>
  <si>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</si>
  <si>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</si>
  <si>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</si>
  <si>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</si>
  <si>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</si>
  <si>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</si>
  <si>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</si>
  <si>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</si>
  <si>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</si>
  <si>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</si>
  <si>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</si>
  <si>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</si>
  <si>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</si>
  <si>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</si>
  <si>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</si>
  <si>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</si>
  <si>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</si>
  <si>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</si>
  <si>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</si>
  <si>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</si>
  <si>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</si>
  <si>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</si>
  <si>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</si>
  <si>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</si>
  <si>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</si>
  <si>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</si>
  <si>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</si>
  <si>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</si>
  <si>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</si>
  <si>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</si>
  <si>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</si>
  <si>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</si>
  <si>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</si>
  <si>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</si>
  <si>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</si>
  <si>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</si>
  <si>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</si>
  <si>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</si>
  <si>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</si>
  <si>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</si>
  <si>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</si>
  <si>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</si>
  <si>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</si>
  <si>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</si>
  <si>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</si>
  <si>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</si>
  <si>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</si>
  <si>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</si>
  <si>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</si>
  <si>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</si>
  <si>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</si>
  <si>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</si>
  <si>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</si>
  <si>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</si>
  <si>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</si>
  <si>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</si>
  <si>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</si>
  <si>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</si>
  <si>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</si>
  <si>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</si>
  <si>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</si>
  <si>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</si>
  <si>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</si>
  <si>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</si>
  <si>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</si>
  <si>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</si>
  <si>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</si>
  <si>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</si>
  <si>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</si>
  <si>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</si>
  <si>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</si>
  <si>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</si>
  <si>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</si>
  <si>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</si>
  <si>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</si>
  <si>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</si>
  <si>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</si>
  <si>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</si>
  <si>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</si>
  <si>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</si>
  <si>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</si>
  <si>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</si>
  <si>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</si>
  <si>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</si>
  <si>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</si>
  <si>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</si>
  <si>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</si>
  <si>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</si>
  <si>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</si>
  <si>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</si>
  <si>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</si>
  <si>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</si>
  <si>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</si>
  <si>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</si>
  <si>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</si>
  <si>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</si>
  <si>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</si>
  <si>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</si>
  <si>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</si>
  <si>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</si>
  <si>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</si>
  <si>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</si>
  <si>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</si>
  <si>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</si>
  <si>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</si>
  <si>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</si>
  <si>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</si>
  <si>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</si>
  <si>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</si>
  <si>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</si>
  <si>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</si>
  <si>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</si>
  <si>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</si>
  <si>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</si>
  <si>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</si>
  <si>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</si>
  <si>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</si>
  <si>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</si>
  <si>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</si>
  <si>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</si>
  <si>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</si>
  <si>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</si>
  <si>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</si>
  <si>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</si>
  <si>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</si>
  <si>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</si>
  <si>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</si>
  <si>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</si>
  <si>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</si>
  <si>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</si>
  <si>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</si>
  <si>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</si>
  <si>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</si>
  <si>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</si>
  <si>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</si>
  <si>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</si>
  <si>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</si>
  <si>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</si>
  <si>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</si>
  <si>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</si>
  <si>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</si>
  <si>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</si>
  <si>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</si>
  <si>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</si>
  <si>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</si>
  <si>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</si>
  <si>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</si>
  <si>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</si>
  <si>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</si>
  <si>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</si>
  <si>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</si>
  <si>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</si>
  <si>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</si>
  <si>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</si>
  <si>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</si>
  <si>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</si>
  <si>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</si>
  <si>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</si>
  <si>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</si>
  <si>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</si>
  <si>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</si>
  <si>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</si>
  <si>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</si>
  <si>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</si>
  <si>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</si>
  <si>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</si>
  <si>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</si>
  <si>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</si>
  <si>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</si>
  <si>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</si>
  <si>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</si>
  <si>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</si>
  <si>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</si>
  <si>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</si>
  <si>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</si>
  <si>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</si>
  <si>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</si>
  <si>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</si>
  <si>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</si>
  <si>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</si>
  <si>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</si>
  <si>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</si>
  <si>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</si>
  <si>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</si>
  <si>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</si>
  <si>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</si>
  <si>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</si>
  <si>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</si>
  <si>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</si>
  <si>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</si>
  <si>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</si>
  <si>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</si>
  <si>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</si>
  <si>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</si>
  <si>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</si>
  <si>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</si>
  <si>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</si>
  <si>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</si>
  <si>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</si>
  <si>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</si>
  <si>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</si>
  <si>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</si>
  <si>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</si>
  <si>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</si>
  <si>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</si>
  <si>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</si>
  <si>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</si>
  <si>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</si>
  <si>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</si>
  <si>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</si>
  <si>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</si>
  <si>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</si>
  <si>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</si>
  <si>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</si>
  <si>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</si>
  <si>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</si>
  <si>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</si>
  <si>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</si>
  <si>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</si>
  <si>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</si>
  <si>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</si>
  <si>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</si>
  <si>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</si>
  <si>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</si>
  <si>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</si>
  <si>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</si>
  <si>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</si>
  <si>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</si>
  <si>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</si>
  <si>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</si>
  <si>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</si>
  <si>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</si>
  <si>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</si>
  <si>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</si>
  <si>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</si>
  <si>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</si>
  <si>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</si>
  <si>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</si>
  <si>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</si>
  <si>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</si>
  <si>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</si>
  <si>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</si>
  <si>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</si>
  <si>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</si>
  <si>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</si>
  <si>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</si>
  <si>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</si>
  <si>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</si>
  <si>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</si>
  <si>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</si>
  <si>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</si>
  <si>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</si>
  <si>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</si>
  <si>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</si>
  <si>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</si>
  <si>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</si>
  <si>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</si>
  <si>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</si>
  <si>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</si>
  <si>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</si>
  <si>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</si>
  <si>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</si>
  <si>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</si>
  <si>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</si>
  <si>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</si>
  <si>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</si>
  <si>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</si>
  <si>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</si>
  <si>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</si>
  <si>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</si>
  <si>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</si>
  <si>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</si>
  <si>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</si>
  <si>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</si>
  <si>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</si>
  <si>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</si>
  <si>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</si>
  <si>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</si>
  <si>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</si>
  <si>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</si>
  <si>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</si>
  <si>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</si>
  <si>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</si>
  <si>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</si>
  <si>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</si>
  <si>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</si>
  <si>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</si>
  <si>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</si>
  <si>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</si>
  <si>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</si>
  <si>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</si>
  <si>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</si>
  <si>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</si>
  <si>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</si>
  <si>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</si>
  <si>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</si>
  <si>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</si>
  <si>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</si>
  <si>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</si>
  <si>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</si>
  <si>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</si>
  <si>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</si>
  <si>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</si>
  <si>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</si>
  <si>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</si>
  <si>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</si>
  <si>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</si>
  <si>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</si>
  <si>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</si>
  <si>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</si>
  <si>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</si>
  <si>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</si>
  <si>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</si>
  <si>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</si>
  <si>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</si>
  <si>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</si>
  <si>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</si>
  <si>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</si>
  <si>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</si>
  <si>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</si>
  <si>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</si>
  <si>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</si>
  <si>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</si>
  <si>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</si>
  <si>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</si>
  <si>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</si>
  <si>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</si>
  <si>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</si>
  <si>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</si>
  <si>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</si>
  <si>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</si>
  <si>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</si>
  <si>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</si>
  <si>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</si>
  <si>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</si>
  <si>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</si>
  <si>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</si>
  <si>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</si>
  <si>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</si>
  <si>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</si>
  <si>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</si>
  <si>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</si>
  <si>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</si>
  <si>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</si>
  <si>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</si>
  <si>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</si>
  <si>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</si>
  <si>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</si>
  <si>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</si>
  <si>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</si>
  <si>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</si>
  <si>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</si>
  <si>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</si>
  <si>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</si>
  <si>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</si>
  <si>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</si>
  <si>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</si>
  <si>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</si>
  <si>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</si>
  <si>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</si>
  <si>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</si>
  <si>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</si>
  <si>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</si>
  <si>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</si>
  <si>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</si>
  <si>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</si>
  <si>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</si>
  <si>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</si>
  <si>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</si>
  <si>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</si>
  <si>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</si>
  <si>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</si>
  <si>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</si>
  <si>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</si>
  <si>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</si>
  <si>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</si>
  <si>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</si>
  <si>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</si>
  <si>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</si>
  <si>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</si>
  <si>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</si>
  <si>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</si>
  <si>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</si>
  <si>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</si>
  <si>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</si>
  <si>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</si>
  <si>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</si>
  <si>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</si>
  <si>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</si>
  <si>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</si>
  <si>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</si>
  <si>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</si>
  <si>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</si>
  <si>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</si>
  <si>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</si>
  <si>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</si>
  <si>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</si>
  <si>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</si>
  <si>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</si>
  <si>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</si>
  <si>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</si>
  <si>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</si>
  <si>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</si>
  <si>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</si>
  <si>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</si>
  <si>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</si>
  <si>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</si>
  <si>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</si>
  <si>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</si>
  <si>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</si>
  <si>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</si>
  <si>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</si>
  <si>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</si>
  <si>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</si>
  <si>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</si>
  <si>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</si>
  <si>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</si>
  <si>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</si>
  <si>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</si>
  <si>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</si>
  <si>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</si>
  <si>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</si>
  <si>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</si>
  <si>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</si>
  <si>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</si>
  <si>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</si>
  <si>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</si>
  <si>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</si>
  <si>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</si>
  <si>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</si>
  <si>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</si>
  <si>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</si>
  <si>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</si>
  <si>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</si>
  <si>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</si>
  <si>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</si>
  <si>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</si>
  <si>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</si>
  <si>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</si>
  <si>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</si>
  <si>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</si>
  <si>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</si>
  <si>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</si>
  <si>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</si>
  <si>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</si>
  <si>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</si>
  <si>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</si>
  <si>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</si>
  <si>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</si>
  <si>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</si>
  <si>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</si>
  <si>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</si>
  <si>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</si>
  <si>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</si>
  <si>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</si>
  <si>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</si>
  <si>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</si>
  <si>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</si>
  <si>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</si>
  <si>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</si>
  <si>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</si>
  <si>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</si>
  <si>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</si>
  <si>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</si>
  <si>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</si>
  <si>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</si>
  <si>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</si>
  <si>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</si>
  <si>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</si>
  <si>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</si>
  <si>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</si>
  <si>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</si>
  <si>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</si>
  <si>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</si>
  <si>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</si>
  <si>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</si>
  <si>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</si>
  <si>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</si>
  <si>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</si>
  <si>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</si>
  <si>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</si>
  <si>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</si>
  <si>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</si>
  <si>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</si>
  <si>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</si>
  <si>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</si>
  <si>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</si>
  <si>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</si>
  <si>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</si>
  <si>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</si>
  <si>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</si>
  <si>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</si>
  <si>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</si>
  <si>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</si>
  <si>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</si>
  <si>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</si>
  <si>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</si>
  <si>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</si>
  <si>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</si>
  <si>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</si>
  <si>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</si>
  <si>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</si>
  <si>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</si>
  <si>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</si>
  <si>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</si>
  <si>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</si>
  <si>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</si>
  <si>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</si>
  <si>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</si>
  <si>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</si>
  <si>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</si>
  <si>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</si>
  <si>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</si>
  <si>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</si>
  <si>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</si>
  <si>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</si>
  <si>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</si>
  <si>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</si>
  <si>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</si>
  <si>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</si>
  <si>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</si>
  <si>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</si>
  <si>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</si>
  <si>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</si>
  <si>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</si>
  <si>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</si>
  <si>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</si>
  <si>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</si>
  <si>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</si>
  <si>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</si>
  <si>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</si>
  <si>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</si>
  <si>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</si>
  <si>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</si>
  <si>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</si>
  <si>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</si>
  <si>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</si>
  <si>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</si>
  <si>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</si>
  <si>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</si>
  <si>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</si>
  <si>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</si>
  <si>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</si>
  <si>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</si>
  <si>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</si>
  <si>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</si>
  <si>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</si>
  <si>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</si>
  <si>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</si>
  <si>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</si>
  <si>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</si>
  <si>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</si>
  <si>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</si>
  <si>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</si>
  <si>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</si>
  <si>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</si>
  <si>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</si>
  <si>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</si>
  <si>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</si>
  <si>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</si>
  <si>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</si>
  <si>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</si>
  <si>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</si>
  <si>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</si>
  <si>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</si>
  <si>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</si>
  <si>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</si>
  <si>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</si>
  <si>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</si>
  <si>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</si>
  <si>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</si>
  <si>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</si>
  <si>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</si>
  <si>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</si>
  <si>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</si>
  <si>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</si>
  <si>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</si>
  <si>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</si>
  <si>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</si>
  <si>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</si>
  <si>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</si>
  <si>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</si>
  <si>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</si>
  <si>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</si>
  <si>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</si>
  <si>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</si>
  <si>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</si>
  <si>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</si>
  <si>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</si>
  <si>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</si>
  <si>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</si>
  <si>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</si>
  <si>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</si>
  <si>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</si>
  <si>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</si>
  <si>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</si>
  <si>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</si>
  <si>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</si>
  <si>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</si>
  <si>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</si>
  <si>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</si>
  <si>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</si>
  <si>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</si>
  <si>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</si>
  <si>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</si>
  <si>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</si>
  <si>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</si>
  <si>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</si>
  <si>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</si>
  <si>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</si>
  <si>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</si>
  <si>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</si>
  <si>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</si>
  <si>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</si>
  <si>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</si>
  <si>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</si>
  <si>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</si>
  <si>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</si>
  <si>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</si>
  <si>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</si>
  <si>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</si>
  <si>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</si>
  <si>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</si>
  <si>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</si>
  <si>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</si>
  <si>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</si>
  <si>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</si>
  <si>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</si>
  <si>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</si>
  <si>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</si>
  <si>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</si>
  <si>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</si>
  <si>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</si>
  <si>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</si>
  <si>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</si>
  <si>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</si>
  <si>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</si>
  <si>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</si>
  <si>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</si>
  <si>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</si>
  <si>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</si>
  <si>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</si>
  <si>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</si>
  <si>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</si>
  <si>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</si>
  <si>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</si>
  <si>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</si>
  <si>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</si>
  <si>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</si>
  <si>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</si>
  <si>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</si>
  <si>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</si>
  <si>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</si>
  <si>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</si>
  <si>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</si>
  <si>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</si>
  <si>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</si>
  <si>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</si>
  <si>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</si>
  <si>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</si>
  <si>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</si>
  <si>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</si>
  <si>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</si>
  <si>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</si>
  <si>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</si>
  <si>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</si>
  <si>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</si>
  <si>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</si>
  <si>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</si>
  <si>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</si>
  <si>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</si>
  <si>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</si>
  <si>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</si>
  <si>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</si>
  <si>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</si>
  <si>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</si>
  <si>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</si>
  <si>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</si>
  <si>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</si>
  <si>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</si>
  <si>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</si>
  <si>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</si>
  <si>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</si>
  <si>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</si>
  <si>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</si>
  <si>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</si>
  <si>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</si>
  <si>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</si>
  <si>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</si>
  <si>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</si>
  <si>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</si>
  <si>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</si>
  <si>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</si>
  <si>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</si>
  <si>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</si>
  <si>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</si>
  <si>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</si>
  <si>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</si>
  <si>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</si>
  <si>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</si>
  <si>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</si>
  <si>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</si>
  <si>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</si>
  <si>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</si>
  <si>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</si>
  <si>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</si>
  <si>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</si>
  <si>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</si>
  <si>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</si>
  <si>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</si>
  <si>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</si>
  <si>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</si>
  <si>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</si>
  <si>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</si>
  <si>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</si>
  <si>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</si>
  <si>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</si>
  <si>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</si>
  <si>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</si>
  <si>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</si>
  <si>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</si>
  <si>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</si>
  <si>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</si>
  <si>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</si>
  <si>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</si>
  <si>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</si>
  <si>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</si>
  <si>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</si>
  <si>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</si>
  <si>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</si>
  <si>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</si>
  <si>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</si>
  <si>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</si>
  <si>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</si>
  <si>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</si>
  <si>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</si>
  <si>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</si>
  <si>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</si>
  <si>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</si>
  <si>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</si>
  <si>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</si>
  <si>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</si>
  <si>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</si>
  <si>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</si>
  <si>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</si>
  <si>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</si>
  <si>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</si>
  <si>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</si>
  <si>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</si>
  <si>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</si>
  <si>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</si>
  <si>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</si>
  <si>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</si>
  <si>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</si>
  <si>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</si>
  <si>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</si>
  <si>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</si>
  <si>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</si>
  <si>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</si>
  <si>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</si>
  <si>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</si>
  <si>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</si>
  <si>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</si>
  <si>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</si>
  <si>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</si>
  <si>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</si>
  <si>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</si>
  <si>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</si>
  <si>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</si>
  <si>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</si>
  <si>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</si>
  <si>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</si>
  <si>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</si>
  <si>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</si>
  <si>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</si>
  <si>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</si>
  <si>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</si>
  <si>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</si>
  <si>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</si>
  <si>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</si>
  <si>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</si>
  <si>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</si>
  <si>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</si>
  <si>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</si>
  <si>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</si>
  <si>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</si>
  <si>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</si>
  <si>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</si>
  <si>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</si>
  <si>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</si>
  <si>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</si>
  <si>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</si>
  <si>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</si>
  <si>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</si>
  <si>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</si>
  <si>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</si>
  <si>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</si>
  <si>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</si>
  <si>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</si>
  <si>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</si>
  <si>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</si>
  <si>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</si>
  <si>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</si>
  <si>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</si>
  <si>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</si>
  <si>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</si>
  <si>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</si>
  <si>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</si>
  <si>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</si>
  <si>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</si>
  <si>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</si>
  <si>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</si>
  <si>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</si>
  <si>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</si>
  <si>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</si>
  <si>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</si>
  <si>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</si>
  <si>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</si>
  <si>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</si>
  <si>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</si>
  <si>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</si>
  <si>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</si>
  <si>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</si>
  <si>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</si>
  <si>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</si>
  <si>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</si>
  <si>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</si>
  <si>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</si>
  <si>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</si>
  <si>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</si>
  <si>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</si>
  <si>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</si>
  <si>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</si>
  <si>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</si>
  <si>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</si>
  <si>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</si>
  <si>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</si>
  <si>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</si>
  <si>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</si>
  <si>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</si>
  <si>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</si>
  <si>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</si>
  <si>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</si>
  <si>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</si>
  <si>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</si>
  <si>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</si>
  <si>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</si>
  <si>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</si>
  <si>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</si>
  <si>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</si>
  <si>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</si>
  <si>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</si>
  <si>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</si>
  <si>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</si>
  <si>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</si>
  <si>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</si>
  <si>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</si>
  <si>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</si>
  <si>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</si>
  <si>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</si>
  <si>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</si>
  <si>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</si>
  <si>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</si>
  <si>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</si>
  <si>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</si>
  <si>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</si>
  <si>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</si>
  <si>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</si>
  <si>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</si>
  <si>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</si>
  <si>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</si>
  <si>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</si>
  <si>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</si>
  <si>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</si>
  <si>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</si>
  <si>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</si>
  <si>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</si>
  <si>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</si>
  <si>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</si>
  <si>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</si>
  <si>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</si>
  <si>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</si>
  <si>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</si>
  <si>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</si>
  <si>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</si>
  <si>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</si>
  <si>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</si>
  <si>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</si>
  <si>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</si>
  <si>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</si>
  <si>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</si>
  <si>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</si>
  <si>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</si>
  <si>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</si>
  <si>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</si>
  <si>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</si>
  <si>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</si>
  <si>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</si>
  <si>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</si>
  <si>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</si>
  <si>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</si>
  <si>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</si>
  <si>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</si>
  <si>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</si>
  <si>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</si>
  <si>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</si>
  <si>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</si>
  <si>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</si>
  <si>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</si>
  <si>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</si>
  <si>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</si>
  <si>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</si>
  <si>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</si>
  <si>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</si>
  <si>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</si>
  <si>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</si>
  <si>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</si>
  <si>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</si>
  <si>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</si>
  <si>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</si>
  <si>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</si>
  <si>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</si>
  <si>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</si>
  <si>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</si>
  <si>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</si>
  <si>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</si>
  <si>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</si>
  <si>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</si>
  <si>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</si>
  <si>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</si>
  <si>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</si>
  <si>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</si>
  <si>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</si>
  <si>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</si>
  <si>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</si>
  <si>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</si>
  <si>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</si>
  <si>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</si>
  <si>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</si>
  <si>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</si>
  <si>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</si>
  <si>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</si>
  <si>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</si>
  <si>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</si>
  <si>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</si>
  <si>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</si>
  <si>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</si>
  <si>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</si>
  <si>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</si>
  <si>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</si>
  <si>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</si>
  <si>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</si>
  <si>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</si>
  <si>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</si>
  <si>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</si>
  <si>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</si>
  <si>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</si>
  <si>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</si>
  <si>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</si>
  <si>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</si>
  <si>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</si>
  <si>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</si>
  <si>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</si>
  <si>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</si>
  <si>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</si>
  <si>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</si>
  <si>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</si>
  <si>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</si>
  <si>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</si>
  <si>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</si>
  <si>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</si>
  <si>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</si>
  <si>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</si>
  <si>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</si>
  <si>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</si>
  <si>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</si>
  <si>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</si>
  <si>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</si>
  <si>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</si>
  <si>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</si>
  <si>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</si>
  <si>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</si>
  <si>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</si>
  <si>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</si>
  <si>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</si>
  <si>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</si>
  <si>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</si>
  <si>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</si>
  <si>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</si>
  <si>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</si>
  <si>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</si>
  <si>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</si>
  <si>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</si>
  <si>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</si>
  <si>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</si>
  <si>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</si>
  <si>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</si>
  <si>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</si>
  <si>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</si>
  <si>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</si>
  <si>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</si>
  <si>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</si>
  <si>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</si>
  <si>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</si>
  <si>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</si>
  <si>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</si>
  <si>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</si>
  <si>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</si>
  <si>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</si>
  <si>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</si>
  <si>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</si>
  <si>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</si>
  <si>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</si>
  <si>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</si>
  <si>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</si>
  <si>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</si>
  <si>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</si>
  <si>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</si>
  <si>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</si>
  <si>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</si>
  <si>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</si>
  <si>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</si>
  <si>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</si>
  <si>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</si>
  <si>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</si>
  <si>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</si>
  <si>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</si>
  <si>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</si>
  <si>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</si>
  <si>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</si>
  <si>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</si>
  <si>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</si>
  <si>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</si>
  <si>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</si>
  <si>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</si>
  <si>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</si>
  <si>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</si>
  <si>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</si>
  <si>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</si>
  <si>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</si>
  <si>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</si>
  <si>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</si>
  <si>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</si>
  <si>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</si>
  <si>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</si>
  <si>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</si>
  <si>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</si>
  <si>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</si>
  <si>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</si>
  <si>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</si>
  <si>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</si>
  <si>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</si>
  <si>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</si>
  <si>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</si>
  <si>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</si>
  <si>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</si>
  <si>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</si>
  <si>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</si>
  <si>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</si>
  <si>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</si>
  <si>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</si>
  <si>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</si>
  <si>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</si>
  <si>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</si>
  <si>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</si>
  <si>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</si>
  <si>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</si>
  <si>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</si>
  <si>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</si>
  <si>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</si>
  <si>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</si>
  <si>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</si>
  <si>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</si>
  <si>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</si>
  <si>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</si>
  <si>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</si>
  <si>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</si>
  <si>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</si>
  <si>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</si>
  <si>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</si>
  <si>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</si>
  <si>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</si>
  <si>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</si>
  <si>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</si>
  <si>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</si>
  <si>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</si>
  <si>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</si>
  <si>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</si>
  <si>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</si>
  <si>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</si>
  <si>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</si>
  <si>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</si>
  <si>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</si>
  <si>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</si>
  <si>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</si>
  <si>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</si>
  <si>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</si>
  <si>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</si>
  <si>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</si>
  <si>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</si>
  <si>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</si>
  <si>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</si>
  <si>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</si>
  <si>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</si>
  <si>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</si>
  <si>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</si>
  <si>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</si>
  <si>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</si>
  <si>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</si>
  <si>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</si>
  <si>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</si>
  <si>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</si>
  <si>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</si>
  <si>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</si>
  <si>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</si>
  <si>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</si>
  <si>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</si>
  <si>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</si>
  <si>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</si>
  <si>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</si>
  <si>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</si>
  <si>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</si>
  <si>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</si>
  <si>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</si>
  <si>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</si>
  <si>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</si>
  <si>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</si>
  <si>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</si>
  <si>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</si>
  <si>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</si>
  <si>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</si>
  <si>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</si>
  <si>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</si>
  <si>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</si>
  <si>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</si>
  <si>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</si>
  <si>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</si>
  <si>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</si>
  <si>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</si>
  <si>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</si>
  <si>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</si>
  <si>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</si>
  <si>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</si>
  <si>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</si>
  <si>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</si>
  <si>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</si>
  <si>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</si>
  <si>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</si>
  <si>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</si>
  <si>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</si>
  <si>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</si>
  <si>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</si>
  <si>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</si>
  <si>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</si>
  <si>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</si>
  <si>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</si>
  <si>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</si>
  <si>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</si>
  <si>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</si>
  <si>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</si>
  <si>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</si>
  <si>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</si>
  <si>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</si>
  <si>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</si>
  <si>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</si>
  <si>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</si>
  <si>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</si>
  <si>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</si>
  <si>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</si>
  <si>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</si>
  <si>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</si>
  <si>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</si>
  <si>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</si>
  <si>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</si>
  <si>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</si>
  <si>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</si>
  <si>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</si>
  <si>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</si>
  <si>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</si>
  <si>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</si>
  <si>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</si>
  <si>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</si>
  <si>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</si>
  <si>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</si>
  <si>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</si>
  <si>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</si>
  <si>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</si>
  <si>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</si>
  <si>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</si>
  <si>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</si>
  <si>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</si>
  <si>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</si>
  <si>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</si>
  <si>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</si>
  <si>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</si>
  <si>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</si>
  <si>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</si>
  <si>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</si>
  <si>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</si>
  <si>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</si>
  <si>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</si>
  <si>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</si>
  <si>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</si>
  <si>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</si>
  <si>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</si>
  <si>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</si>
  <si>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</si>
  <si>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</si>
  <si>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</si>
  <si>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</si>
  <si>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</si>
  <si>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</si>
  <si>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</si>
  <si>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</si>
  <si>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</si>
  <si>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</si>
  <si>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</si>
  <si>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</si>
  <si>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</si>
  <si>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</si>
  <si>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</si>
  <si>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</si>
  <si>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</si>
  <si>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</si>
  <si>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</si>
  <si>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</si>
  <si>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</si>
  <si>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</si>
  <si>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</si>
  <si>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</si>
  <si>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</si>
  <si>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</si>
  <si>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</si>
  <si>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</si>
  <si>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</si>
  <si>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</si>
  <si>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</si>
  <si>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</si>
  <si>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</si>
  <si>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</si>
  <si>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</si>
  <si>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</si>
  <si>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</si>
  <si>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</si>
  <si>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</si>
  <si>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</si>
  <si>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</si>
  <si>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</si>
  <si>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</si>
  <si>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</si>
  <si>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</si>
  <si>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</si>
  <si>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</si>
  <si>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</si>
  <si>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</si>
  <si>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</si>
  <si>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</si>
  <si>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</si>
  <si>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</si>
  <si>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</si>
  <si>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</si>
  <si>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</si>
  <si>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</si>
  <si>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</si>
  <si>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</si>
  <si>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</si>
  <si>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</si>
  <si>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</si>
  <si>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</si>
  <si>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</si>
  <si>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</si>
  <si>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</si>
  <si>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</si>
  <si>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</si>
  <si>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</si>
  <si>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</si>
  <si>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</si>
  <si>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</si>
  <si>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</si>
  <si>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</si>
  <si>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</si>
  <si>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</si>
  <si>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</si>
  <si>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</si>
  <si>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</si>
  <si>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</si>
  <si>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</si>
  <si>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</si>
  <si>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</si>
  <si>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</si>
  <si>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</si>
  <si>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</si>
  <si>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</si>
  <si>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</si>
  <si>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</si>
  <si>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</si>
  <si>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</si>
  <si>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</si>
  <si>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</si>
  <si>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</si>
  <si>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</si>
  <si>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</si>
  <si>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</si>
  <si>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</si>
  <si>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</si>
  <si>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</si>
  <si>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</si>
  <si>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</si>
  <si>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</si>
  <si>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</si>
  <si>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</si>
  <si>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</si>
  <si>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</si>
  <si>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</si>
  <si>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</si>
  <si>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</si>
  <si>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</si>
  <si>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</si>
  <si>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</si>
  <si>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</si>
  <si>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</si>
  <si>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</si>
  <si>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</si>
  <si>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</si>
  <si>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</si>
  <si>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</si>
  <si>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</si>
  <si>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</si>
  <si>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</si>
  <si>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</si>
  <si>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</si>
  <si>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</si>
  <si>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</si>
  <si>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</si>
  <si>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</si>
  <si>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</si>
  <si>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</si>
  <si>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</si>
  <si>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</si>
  <si>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</si>
  <si>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</si>
  <si>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</si>
  <si>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</si>
  <si>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</si>
  <si>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</si>
  <si>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</si>
  <si>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</si>
  <si>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</si>
  <si>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</si>
  <si>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</si>
  <si>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</si>
  <si>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</si>
  <si>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</si>
  <si>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</si>
  <si>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</si>
  <si>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</si>
  <si>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</si>
  <si>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</si>
  <si>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</si>
  <si>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</si>
  <si>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</si>
  <si>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</si>
  <si>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</si>
  <si>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</si>
  <si>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</si>
  <si>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</si>
  <si>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</si>
  <si>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</si>
  <si>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</si>
  <si>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</si>
  <si>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</si>
  <si>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</si>
  <si>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</si>
  <si>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</si>
  <si>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</si>
  <si>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</si>
  <si>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</si>
  <si>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</si>
  <si>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</si>
  <si>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</si>
  <si>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</si>
  <si>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</si>
  <si>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</si>
  <si>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</si>
  <si>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</si>
  <si>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</si>
  <si>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</si>
  <si>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</si>
  <si>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</si>
  <si>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</si>
  <si>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</si>
  <si>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</si>
  <si>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</si>
  <si>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</si>
  <si>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</si>
  <si>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</si>
  <si>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</si>
  <si>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</si>
  <si>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</si>
  <si>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</si>
  <si>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</si>
  <si>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</si>
  <si>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</si>
  <si>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</si>
  <si>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</si>
  <si>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</si>
  <si>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</si>
  <si>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</si>
  <si>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</si>
  <si>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</si>
  <si>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</si>
  <si>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</si>
  <si>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</si>
  <si>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</si>
  <si>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</si>
  <si>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</si>
  <si>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</si>
  <si>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</si>
  <si>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</si>
  <si>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</si>
  <si>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</si>
  <si>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</si>
  <si>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</si>
  <si>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</si>
  <si>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</si>
  <si>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</si>
  <si>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</si>
  <si>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</si>
  <si>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</si>
  <si>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</si>
  <si>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</si>
  <si>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</si>
  <si>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</si>
  <si>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</si>
  <si>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</si>
  <si>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</si>
  <si>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</si>
  <si>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</si>
  <si>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</si>
  <si>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</si>
  <si>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</si>
  <si>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</si>
  <si>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</si>
  <si>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</si>
  <si>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</si>
  <si>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</si>
  <si>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</si>
  <si>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</si>
  <si>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</si>
  <si>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</si>
  <si>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</si>
  <si>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</si>
  <si>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</si>
  <si>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</si>
  <si>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</si>
  <si>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</si>
  <si>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</si>
  <si>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</si>
  <si>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</si>
  <si>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</si>
  <si>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</si>
  <si>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</si>
  <si>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</si>
  <si>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</si>
  <si>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</si>
  <si>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</si>
  <si>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</si>
  <si>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</si>
  <si>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</si>
  <si>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</si>
  <si>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</si>
  <si>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</si>
  <si>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</si>
  <si>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</si>
  <si>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</si>
  <si>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</si>
  <si>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</si>
  <si>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</si>
  <si>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</si>
  <si>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</si>
  <si>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</si>
  <si>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</si>
  <si>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</si>
  <si>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</si>
  <si>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</si>
  <si>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</si>
  <si>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</si>
  <si>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</si>
  <si>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</si>
  <si>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</si>
  <si>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</si>
  <si>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</si>
  <si>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</si>
  <si>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</si>
  <si>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</si>
  <si>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</si>
  <si>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</si>
  <si>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</si>
  <si>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</si>
  <si>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</si>
  <si>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</si>
  <si>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</si>
  <si>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</si>
  <si>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</si>
  <si>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</si>
  <si>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</si>
  <si>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</si>
  <si>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</si>
  <si>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</si>
  <si>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</si>
  <si>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</si>
  <si>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</si>
  <si>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</si>
  <si>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</si>
  <si>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</si>
  <si>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</si>
  <si>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</si>
  <si>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</si>
  <si>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</si>
  <si>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</si>
  <si>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</si>
  <si>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</si>
  <si>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</si>
  <si>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</si>
  <si>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</si>
  <si>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</si>
  <si>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</si>
  <si>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</si>
  <si>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</si>
  <si>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</si>
  <si>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</si>
  <si>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</si>
  <si>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</si>
  <si>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</si>
  <si>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</si>
  <si>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</si>
  <si>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</si>
  <si>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</si>
  <si>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</si>
  <si>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</si>
  <si>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</si>
  <si>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</si>
  <si>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</si>
  <si>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</si>
  <si>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</si>
  <si>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</si>
  <si>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</si>
  <si>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</si>
  <si>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</si>
  <si>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</si>
  <si>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</si>
  <si>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</si>
  <si>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</si>
  <si>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</si>
  <si>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</si>
  <si>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</si>
  <si>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</si>
  <si>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</si>
  <si>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</si>
  <si>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</si>
  <si>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</si>
  <si>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</si>
  <si>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</si>
  <si>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</si>
  <si>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</si>
  <si>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</si>
  <si>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</si>
  <si>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</si>
  <si>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</si>
  <si>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</si>
  <si>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</si>
  <si>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</si>
  <si>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</si>
  <si>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</si>
  <si>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</si>
  <si>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</si>
  <si>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</si>
  <si>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</si>
  <si>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</si>
  <si>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</si>
  <si>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</si>
  <si>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</si>
  <si>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</si>
  <si>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</si>
  <si>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</si>
  <si>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</si>
  <si>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</si>
  <si>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</si>
  <si>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</si>
  <si>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</si>
  <si>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</si>
  <si>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</si>
  <si>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</si>
  <si>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</si>
  <si>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</si>
  <si>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</si>
  <si>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</si>
  <si>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</si>
  <si>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</si>
  <si>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</si>
  <si>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</si>
  <si>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</si>
  <si>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</si>
  <si>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</si>
  <si>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</si>
  <si>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</si>
  <si>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</si>
  <si>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</si>
  <si>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</si>
  <si>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</si>
  <si>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</si>
  <si>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</si>
  <si>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</si>
  <si>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</si>
  <si>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</si>
  <si>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</si>
  <si>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</si>
  <si>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</si>
  <si>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</si>
  <si>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</si>
  <si>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</si>
  <si>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</si>
  <si>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</si>
  <si>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</si>
  <si>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</si>
  <si>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</si>
  <si>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</si>
  <si>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</si>
  <si>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</si>
  <si>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</si>
  <si>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</si>
  <si>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</si>
  <si>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</si>
  <si>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</si>
  <si>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</si>
  <si>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</si>
  <si>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</si>
  <si>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</si>
  <si>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</si>
  <si>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</si>
  <si>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</si>
  <si>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</si>
  <si>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</si>
  <si>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</si>
  <si>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</si>
  <si>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</si>
  <si>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</si>
  <si>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</si>
  <si>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</si>
  <si>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</si>
  <si>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</si>
  <si>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</si>
  <si>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</si>
  <si>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</si>
  <si>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</si>
  <si>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</si>
  <si>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</si>
  <si>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</si>
  <si>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</si>
  <si>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</si>
  <si>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</si>
  <si>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</si>
  <si>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</si>
  <si>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</si>
  <si>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</si>
  <si>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</si>
  <si>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</si>
  <si>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</si>
  <si>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</si>
  <si>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</si>
  <si>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</si>
  <si>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</si>
  <si>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</si>
  <si>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</si>
  <si>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</si>
  <si>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</si>
  <si>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</si>
  <si>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</si>
  <si>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</si>
  <si>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</si>
  <si>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</si>
  <si>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</si>
  <si>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</si>
  <si>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</si>
  <si>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</si>
  <si>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</si>
  <si>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</si>
  <si>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</si>
  <si>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</si>
  <si>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</si>
  <si>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</si>
  <si>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</si>
  <si>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</si>
  <si>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</si>
  <si>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</si>
  <si>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</si>
  <si>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</si>
  <si>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</si>
  <si>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</si>
  <si>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</si>
  <si>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</si>
  <si>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</si>
  <si>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</si>
  <si>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</si>
  <si>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</si>
  <si>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</si>
  <si>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</si>
  <si>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</si>
  <si>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</si>
  <si>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</si>
  <si>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</si>
  <si>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</si>
  <si>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</si>
  <si>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</si>
  <si>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</si>
  <si>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</si>
  <si>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</si>
  <si>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</si>
  <si>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</si>
  <si>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</si>
  <si>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</si>
  <si>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</si>
  <si>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</si>
  <si>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</si>
  <si>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</si>
  <si>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</si>
  <si>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</si>
  <si>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</si>
  <si>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</si>
  <si>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</si>
  <si>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</si>
  <si>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</si>
  <si>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</si>
  <si>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</si>
  <si>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</si>
  <si>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</si>
  <si>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</si>
  <si>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</si>
  <si>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</si>
  <si>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</si>
  <si>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</si>
  <si>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</si>
  <si>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</si>
  <si>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</si>
  <si>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</si>
  <si>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</si>
  <si>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</si>
  <si>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</si>
  <si>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</si>
  <si>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</si>
  <si>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</si>
  <si>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</si>
  <si>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</si>
  <si>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</si>
  <si>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</si>
  <si>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</si>
  <si>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</si>
  <si>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</si>
  <si>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</si>
  <si>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</si>
  <si>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</si>
  <si>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</si>
  <si>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</si>
  <si>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</si>
  <si>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</si>
  <si>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</si>
  <si>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</si>
  <si>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</si>
  <si>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</si>
  <si>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</si>
  <si>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</si>
  <si>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</si>
  <si>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</si>
  <si>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</si>
  <si>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</si>
  <si>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</si>
  <si>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</si>
  <si>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</si>
  <si>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</si>
  <si>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</si>
  <si>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</si>
  <si>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</si>
  <si>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</si>
  <si>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</si>
  <si>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</si>
  <si>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</si>
  <si>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</si>
  <si>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</si>
  <si>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</si>
  <si>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</si>
  <si>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</si>
  <si>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</si>
  <si>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</si>
  <si>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</si>
  <si>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</si>
  <si>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</si>
  <si>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</si>
  <si>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</si>
  <si>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</si>
  <si>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</si>
  <si>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</si>
  <si>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</si>
  <si>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</si>
  <si>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</si>
  <si>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</si>
  <si>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</si>
  <si>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</si>
  <si>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</si>
  <si>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</si>
  <si>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</si>
  <si>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</si>
  <si>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</si>
  <si>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</si>
  <si>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</si>
  <si>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</si>
  <si>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</si>
  <si>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</si>
  <si>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</si>
  <si>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</si>
  <si>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</si>
  <si>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</si>
  <si>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</si>
  <si>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</si>
  <si>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</si>
  <si>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</si>
  <si>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</si>
  <si>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</si>
  <si>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</si>
  <si>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</si>
  <si>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</si>
  <si>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</si>
  <si>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</si>
  <si>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</si>
  <si>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</si>
  <si>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</si>
  <si>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</si>
  <si>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</si>
  <si>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</si>
  <si>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</si>
  <si>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</si>
  <si>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</si>
  <si>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</si>
  <si>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</si>
  <si>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</si>
  <si>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</si>
  <si>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</si>
  <si>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</si>
  <si>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</si>
  <si>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</si>
  <si>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</si>
  <si>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</si>
  <si>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</si>
  <si>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</si>
  <si>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</si>
  <si>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</si>
  <si>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</si>
  <si>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</si>
  <si>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</si>
  <si>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</si>
  <si>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</si>
  <si>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</si>
  <si>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</si>
  <si>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</si>
  <si>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</si>
  <si>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</si>
  <si>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</si>
  <si>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</si>
  <si>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</si>
  <si>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</si>
  <si>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</si>
  <si>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</si>
  <si>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</si>
  <si>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</si>
  <si>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</si>
  <si>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</si>
  <si>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</si>
  <si>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</si>
  <si>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</si>
  <si>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</si>
  <si>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</si>
  <si>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</si>
  <si>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</si>
  <si>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</si>
  <si>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</si>
  <si>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</si>
  <si>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</si>
  <si>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</si>
  <si>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</si>
  <si>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</si>
  <si>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</si>
  <si>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</si>
  <si>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</si>
  <si>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</si>
  <si>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</si>
  <si>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</si>
  <si>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</si>
  <si>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</si>
  <si>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</si>
  <si>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</si>
  <si>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</si>
  <si>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</si>
  <si>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</si>
  <si>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</si>
  <si>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</si>
  <si>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</si>
  <si>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</si>
  <si>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</si>
  <si>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</si>
  <si>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</si>
  <si>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</si>
  <si>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</si>
  <si>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</si>
  <si>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</si>
  <si>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</si>
  <si>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</si>
  <si>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</si>
  <si>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</si>
  <si>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</si>
  <si>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</si>
  <si>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</si>
  <si>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</si>
  <si>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</si>
  <si>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</si>
  <si>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</si>
  <si>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</si>
  <si>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</si>
  <si>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</si>
  <si>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</si>
  <si>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</si>
  <si>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</si>
  <si>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</si>
  <si>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</si>
  <si>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</si>
  <si>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</si>
  <si>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</si>
  <si>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</si>
  <si>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</si>
  <si>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</si>
  <si>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</si>
  <si>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</si>
  <si>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</si>
  <si>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</si>
  <si>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</si>
  <si>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</si>
  <si>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</si>
  <si>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</si>
  <si>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</si>
  <si>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</si>
  <si>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</si>
  <si>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</si>
  <si>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</si>
  <si>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</si>
  <si>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</si>
  <si>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</si>
  <si>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</si>
  <si>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</si>
  <si>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</si>
  <si>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</si>
  <si>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</si>
  <si>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</si>
  <si>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</si>
  <si>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</si>
  <si>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</si>
  <si>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</si>
  <si>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</si>
  <si>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</si>
  <si>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</si>
  <si>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</si>
  <si>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</si>
  <si>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</si>
  <si>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</si>
  <si>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</si>
  <si>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</si>
  <si>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</si>
  <si>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</si>
  <si>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</si>
  <si>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</si>
  <si>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</si>
  <si>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</si>
  <si>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</si>
  <si>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</si>
  <si>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</si>
  <si>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</si>
  <si>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</si>
  <si>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</si>
  <si>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</si>
  <si>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</si>
  <si>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</si>
  <si>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</si>
  <si>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</si>
  <si>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</si>
  <si>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</si>
  <si>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</si>
  <si>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</si>
  <si>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</si>
  <si>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</si>
  <si>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</si>
  <si>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</si>
  <si>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</si>
  <si>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</si>
  <si>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</si>
  <si>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</si>
  <si>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</si>
  <si>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</si>
  <si>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</si>
  <si>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</si>
  <si>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</si>
  <si>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</si>
  <si>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</si>
  <si>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</si>
  <si>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</si>
  <si>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</si>
  <si>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</si>
  <si>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</si>
  <si>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</si>
  <si>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</si>
  <si>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</si>
  <si>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</si>
  <si>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</si>
  <si>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</si>
  <si>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</si>
  <si>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</si>
  <si>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</si>
  <si>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</si>
  <si>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</si>
  <si>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</si>
  <si>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</si>
  <si>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</si>
  <si>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</si>
  <si>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</si>
  <si>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</si>
  <si>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</si>
  <si>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</si>
  <si>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</si>
  <si>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</si>
  <si>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</si>
  <si>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</si>
  <si>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</si>
  <si>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</si>
  <si>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</si>
  <si>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</si>
  <si>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</si>
  <si>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</si>
  <si>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</si>
  <si>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</si>
  <si>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</si>
  <si>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</si>
  <si>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</si>
  <si>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</si>
  <si>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</si>
  <si>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</si>
  <si>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</si>
  <si>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</si>
  <si>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</si>
  <si>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</si>
  <si>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</si>
  <si>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</si>
  <si>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</si>
  <si>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</si>
  <si>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</si>
  <si>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</si>
  <si>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</si>
  <si>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</si>
  <si>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</si>
  <si>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</si>
  <si>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</si>
  <si>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</si>
  <si>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</si>
  <si>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</si>
  <si>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</si>
  <si>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</si>
  <si>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</si>
  <si>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</si>
  <si>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</si>
  <si>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</si>
  <si>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</si>
  <si>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</si>
  <si>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</si>
  <si>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</si>
  <si>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</si>
  <si>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</si>
  <si>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</si>
  <si>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</si>
  <si>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</si>
  <si>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</si>
  <si>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</si>
  <si>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</si>
  <si>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</si>
  <si>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</si>
  <si>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</si>
  <si>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</si>
  <si>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</si>
  <si>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</si>
  <si>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</si>
  <si>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</si>
  <si>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</si>
  <si>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</si>
  <si>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</si>
  <si>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</si>
  <si>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</si>
  <si>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</si>
  <si>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</si>
  <si>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</si>
  <si>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</si>
  <si>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</si>
  <si>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</si>
  <si>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</si>
  <si>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</si>
  <si>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</si>
  <si>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</si>
  <si>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</si>
  <si>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</si>
  <si>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</si>
  <si>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</si>
  <si>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</si>
  <si>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</si>
  <si>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</si>
  <si>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</si>
  <si>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</si>
  <si>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</si>
  <si>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</si>
  <si>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</si>
  <si>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</si>
  <si>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</si>
  <si>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</si>
  <si>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</si>
  <si>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</si>
  <si>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</si>
  <si>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</si>
  <si>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</si>
  <si>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</si>
  <si>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</si>
  <si>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</si>
  <si>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</si>
  <si>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</si>
  <si>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</si>
  <si>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</si>
  <si>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</si>
  <si>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</si>
  <si>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</si>
  <si>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</si>
  <si>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</si>
  <si>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</si>
  <si>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</si>
  <si>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</si>
  <si>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</si>
  <si>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</si>
  <si>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</si>
  <si>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</si>
  <si>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</si>
  <si>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</si>
  <si>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</si>
  <si>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</si>
  <si>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</si>
  <si>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</si>
  <si>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</si>
  <si>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</si>
  <si>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</si>
  <si>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</si>
  <si>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</si>
  <si>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</si>
  <si>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</si>
  <si>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</si>
  <si>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</si>
  <si>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</si>
  <si>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</si>
  <si>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</si>
  <si>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</si>
  <si>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</si>
  <si>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</si>
  <si>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</si>
  <si>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</si>
  <si>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</si>
  <si>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</si>
  <si>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</si>
  <si>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</si>
  <si>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</si>
  <si>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</si>
  <si>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</si>
  <si>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</si>
  <si>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</si>
  <si>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</si>
  <si>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</si>
  <si>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</si>
  <si>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</si>
  <si>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</si>
  <si>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</si>
  <si>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</si>
  <si>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</si>
  <si>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</si>
  <si>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</si>
  <si>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</si>
  <si>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</si>
  <si>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</si>
  <si>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</si>
  <si>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</si>
  <si>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</si>
  <si>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</si>
  <si>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</si>
  <si>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</si>
  <si>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</si>
  <si>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</si>
  <si>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</si>
  <si>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</si>
  <si>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</si>
  <si>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</si>
  <si>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</si>
  <si>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</si>
  <si>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</si>
  <si>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</si>
  <si>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</si>
  <si>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</si>
  <si>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</si>
  <si>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</si>
  <si>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</si>
  <si>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</si>
  <si>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</si>
  <si>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</si>
  <si>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</si>
  <si>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</si>
  <si>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</si>
  <si>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</si>
  <si>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</si>
  <si>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</si>
  <si>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</si>
  <si>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</si>
  <si>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</si>
  <si>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</si>
  <si>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</si>
  <si>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</si>
  <si>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</si>
  <si>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</si>
  <si>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</si>
  <si>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</si>
  <si>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</si>
  <si>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</si>
  <si>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</si>
  <si>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</si>
  <si>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</si>
  <si>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</si>
  <si>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</si>
  <si>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</si>
  <si>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</si>
  <si>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</si>
  <si>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</si>
  <si>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</si>
  <si>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</si>
  <si>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</si>
  <si>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</si>
  <si>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</si>
  <si>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</si>
  <si>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</si>
  <si>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</si>
  <si>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</si>
  <si>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</si>
  <si>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</si>
  <si>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</si>
  <si>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</si>
  <si>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</si>
  <si>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</si>
  <si>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</si>
  <si>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</si>
  <si>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</si>
  <si>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</si>
  <si>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</si>
  <si>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</si>
  <si>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</si>
  <si>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</si>
  <si>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</si>
  <si>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</si>
  <si>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</si>
  <si>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</si>
  <si>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</si>
  <si>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</si>
  <si>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</si>
  <si>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</si>
  <si>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</si>
  <si>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</si>
  <si>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</si>
  <si>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</si>
  <si>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</si>
  <si>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</si>
  <si>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</si>
  <si>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</si>
  <si>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</si>
  <si>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</si>
  <si>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</si>
  <si>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</si>
  <si>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</si>
  <si>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</si>
  <si>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</si>
  <si>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</si>
  <si>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</si>
  <si>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</si>
  <si>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</si>
  <si>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</si>
  <si>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</si>
  <si>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</si>
  <si>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</si>
  <si>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</si>
  <si>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</si>
  <si>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</si>
  <si>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</si>
  <si>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</si>
  <si>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</si>
  <si>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</si>
  <si>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</si>
  <si>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</si>
  <si>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</si>
  <si>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</si>
  <si>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</si>
  <si>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</si>
  <si>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</si>
  <si>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</si>
  <si>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</si>
  <si>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</si>
  <si>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</si>
  <si>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</si>
  <si>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</si>
  <si>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</si>
  <si>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</si>
  <si>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</si>
  <si>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</si>
  <si>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</si>
  <si>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</si>
  <si>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</si>
  <si>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</si>
  <si>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</si>
  <si>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</si>
  <si>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</si>
  <si>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</si>
  <si>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</si>
  <si>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</si>
  <si>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</si>
  <si>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</si>
  <si>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</si>
  <si>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</si>
  <si>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</si>
  <si>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</si>
  <si>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</si>
  <si>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</si>
  <si>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</si>
  <si>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</si>
  <si>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</si>
  <si>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</si>
  <si>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</si>
  <si>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</si>
  <si>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</si>
  <si>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</si>
  <si>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</si>
  <si>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</si>
  <si>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</si>
  <si>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</si>
  <si>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</si>
  <si>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</si>
  <si>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</si>
  <si>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</si>
  <si>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</si>
  <si>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</si>
  <si>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</si>
  <si>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</si>
  <si>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</si>
  <si>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</si>
  <si>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</si>
  <si>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</si>
  <si>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</si>
  <si>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</si>
  <si>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</si>
  <si>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</si>
  <si>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</si>
  <si>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</si>
  <si>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</si>
  <si>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</si>
  <si>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</si>
  <si>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</si>
  <si>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</si>
  <si>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</si>
  <si>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</si>
  <si>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</si>
  <si>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</si>
  <si>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</si>
  <si>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</si>
  <si>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</si>
  <si>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</si>
  <si>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</si>
  <si>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</si>
  <si>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</si>
  <si>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</si>
  <si>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</si>
  <si>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</si>
  <si>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</si>
  <si>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</si>
  <si>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</si>
  <si>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</si>
  <si>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</si>
  <si>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</si>
  <si>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</si>
  <si>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</si>
  <si>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</si>
  <si>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</si>
  <si>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</si>
  <si>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</si>
  <si>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</si>
  <si>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</si>
  <si>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</si>
  <si>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</si>
  <si>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</si>
  <si>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</si>
  <si>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</si>
  <si>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</si>
  <si>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</si>
  <si>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</si>
  <si>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</si>
  <si>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</si>
  <si>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</si>
  <si>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</si>
  <si>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</si>
  <si>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</si>
  <si>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</si>
  <si>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</si>
  <si>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</si>
  <si>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</si>
  <si>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</si>
  <si>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</si>
  <si>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</si>
  <si>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</si>
  <si>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</si>
  <si>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</si>
  <si>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</si>
  <si>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</si>
  <si>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</si>
  <si>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</si>
  <si>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</si>
  <si>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</si>
  <si>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</si>
  <si>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</si>
  <si>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</si>
  <si>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</si>
  <si>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</si>
  <si>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</si>
  <si>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</si>
  <si>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</si>
  <si>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</si>
  <si>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</si>
  <si>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</si>
  <si>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</si>
  <si>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</si>
  <si>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</si>
  <si>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</si>
  <si>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</si>
  <si>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</si>
  <si>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</si>
  <si>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</si>
  <si>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</si>
  <si>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</si>
  <si>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</si>
  <si>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</si>
  <si>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</si>
  <si>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</si>
  <si>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</si>
  <si>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</si>
  <si>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</si>
  <si>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</si>
  <si>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</si>
  <si>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</si>
  <si>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</si>
  <si>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</si>
  <si>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</si>
  <si>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</si>
  <si>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</si>
  <si>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</si>
  <si>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</si>
  <si>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</si>
  <si>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</si>
  <si>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</si>
  <si>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</si>
  <si>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</si>
  <si>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</si>
  <si>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</si>
  <si>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</si>
  <si>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</si>
  <si>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</si>
  <si>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</si>
  <si>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</si>
  <si>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</si>
  <si>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</si>
  <si>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</si>
  <si>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</si>
  <si>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</si>
  <si>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</si>
  <si>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</si>
  <si>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</si>
  <si>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</si>
  <si>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</si>
  <si>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</si>
  <si>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</si>
  <si>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</si>
  <si>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</si>
  <si>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</si>
  <si>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</si>
  <si>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</si>
  <si>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</si>
  <si>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</si>
  <si>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</si>
  <si>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</si>
  <si>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</si>
  <si>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</si>
  <si>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</si>
  <si>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</si>
  <si>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</si>
  <si>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</si>
  <si>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</si>
  <si>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</si>
  <si>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</si>
  <si>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</si>
  <si>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</si>
  <si>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</si>
  <si>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</si>
  <si>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</si>
  <si>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</si>
  <si>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</si>
  <si>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</si>
  <si>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</si>
  <si>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</si>
  <si>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</si>
  <si>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</si>
  <si>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</si>
  <si>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</si>
  <si>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</si>
  <si>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</si>
  <si>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</si>
  <si>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</si>
  <si>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</si>
  <si>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</si>
  <si>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</si>
  <si>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</si>
  <si>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</si>
  <si>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</si>
  <si>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</si>
  <si>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</si>
  <si>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</si>
  <si>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</si>
  <si>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</si>
  <si>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</si>
  <si>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</si>
  <si>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</si>
  <si>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</si>
  <si>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</si>
  <si>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</si>
  <si>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</si>
  <si>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</si>
  <si>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</si>
  <si>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</si>
  <si>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</si>
  <si>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</si>
  <si>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</si>
  <si>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</si>
  <si>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杨红英</t>
  </si>
  <si>
    <t>叶凌</t>
  </si>
  <si>
    <t>湖南省隆回县人民法院</t>
    <phoneticPr fontId="7" type="noConversion"/>
  </si>
  <si>
    <t>核定资产</t>
  </si>
  <si>
    <t>房地产市场价值</t>
  </si>
  <si>
    <t>北京市</t>
  </si>
  <si>
    <t>自然人</t>
  </si>
  <si>
    <t>Ⅷ-亦1</t>
  </si>
  <si>
    <t>否</t>
  </si>
  <si>
    <t>与房产证证载一致</t>
  </si>
  <si>
    <t>住宅</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</si>
  <si>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</si>
  <si>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</si>
  <si>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</si>
  <si>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</si>
  <si>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</si>
  <si>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</si>
  <si>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</si>
  <si>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</si>
  <si>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</si>
  <si>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</si>
  <si>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</si>
  <si>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</si>
  <si>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</si>
  <si>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</si>
  <si>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</si>
  <si>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</si>
  <si>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</si>
  <si>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</si>
  <si>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</si>
  <si>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</si>
  <si>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5</t>
    <phoneticPr fontId="4" type="noConversion"/>
  </si>
  <si>
    <t>60</t>
    <phoneticPr fontId="4" type="noConversion"/>
  </si>
  <si>
    <t>估价对象周边有富力尚悦居、珠江四季、星悦国际等住宅小区，综合评价居住社区成熟度较好</t>
    <phoneticPr fontId="35" type="noConversion"/>
  </si>
  <si>
    <t>估价对象周边有通28路、专47路等公交线路，距地铁亦庄线（经海路站）约2.6公里，综合评价交通便捷度一般</t>
    <phoneticPr fontId="35" type="noConversion"/>
  </si>
  <si>
    <t>区域自然环境：金马公园；人文环境；综合评价环境状况一般</t>
    <phoneticPr fontId="35" type="noConversion"/>
  </si>
  <si>
    <t>七通</t>
  </si>
  <si>
    <t>七通</t>
    <phoneticPr fontId="20" type="noConversion"/>
  </si>
  <si>
    <t>估价对象所在区域公共配套设施齐备情况较好</t>
    <phoneticPr fontId="35" type="noConversion"/>
  </si>
  <si>
    <t>估价对象</t>
  </si>
  <si>
    <t>售价</t>
  </si>
  <si>
    <t>住宅</t>
    <phoneticPr fontId="20" type="noConversion"/>
  </si>
  <si>
    <t>60-70（含）</t>
  </si>
  <si>
    <t>估价对象1（结果表）</t>
  </si>
  <si>
    <t>设定收益年期(n)</t>
  </si>
  <si>
    <t>比较法-住宅</t>
  </si>
  <si>
    <t>收益法</t>
  </si>
  <si>
    <t>正常</t>
  </si>
  <si>
    <t>南北</t>
  </si>
  <si>
    <t>南北</t>
    <phoneticPr fontId="20" type="noConversion"/>
  </si>
  <si>
    <t>国风美仑</t>
    <phoneticPr fontId="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</si>
  <si>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</si>
  <si>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高板</t>
  </si>
  <si>
    <t>高板</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</si>
  <si>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</si>
  <si>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</si>
  <si>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</si>
  <si>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</si>
  <si>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</si>
  <si>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</si>
  <si>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</si>
  <si>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</si>
  <si>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</si>
  <si>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</si>
  <si>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</si>
  <si>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简装</t>
  </si>
  <si>
    <t>简装</t>
    <phoneticPr fontId="20" type="noConversion"/>
  </si>
  <si>
    <t>建成年代</t>
    <phoneticPr fontId="20" type="noConversion"/>
  </si>
  <si>
    <t>城市支路——兴贸一街</t>
    <phoneticPr fontId="20" type="noConversion"/>
  </si>
  <si>
    <t>南</t>
  </si>
  <si>
    <t>南</t>
    <phoneticPr fontId="20" type="noConversion"/>
  </si>
  <si>
    <t>装修中</t>
  </si>
  <si>
    <t>装修中</t>
    <phoneticPr fontId="20" type="noConversion"/>
  </si>
  <si>
    <r>
      <rPr>
        <sz val="10"/>
        <color indexed="8"/>
        <rFont val="宋体"/>
        <family val="3"/>
        <charset val="134"/>
      </rPr>
      <t>北京市通州区马驹桥镇兴贸二街</t>
    </r>
    <r>
      <rPr>
        <sz val="10"/>
        <color indexed="8"/>
        <rFont val="Arial"/>
        <family val="2"/>
      </rPr>
      <t>5</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2</t>
    </r>
    <r>
      <rPr>
        <sz val="10"/>
        <color indexed="8"/>
        <rFont val="宋体"/>
        <family val="3"/>
        <charset val="134"/>
      </rPr>
      <t>层</t>
    </r>
    <r>
      <rPr>
        <sz val="10"/>
        <color indexed="8"/>
        <rFont val="Arial"/>
        <family val="2"/>
      </rPr>
      <t>202</t>
    </r>
    <r>
      <rPr>
        <sz val="10"/>
        <color indexed="8"/>
        <rFont val="宋体"/>
        <family val="3"/>
        <charset val="134"/>
      </rPr>
      <t>号住宅用房</t>
    </r>
    <phoneticPr fontId="7" type="noConversion"/>
  </si>
  <si>
    <t>楼层</t>
    <phoneticPr fontId="20" type="noConversion"/>
  </si>
  <si>
    <t>2/16</t>
    <phoneticPr fontId="20" type="noConversion"/>
  </si>
  <si>
    <r>
      <rPr>
        <sz val="11"/>
        <rFont val="宋体"/>
        <family val="3"/>
        <charset val="134"/>
      </rPr>
      <t>低层</t>
    </r>
    <r>
      <rPr>
        <sz val="11"/>
        <rFont val="Arial"/>
        <family val="2"/>
      </rPr>
      <t>/16</t>
    </r>
    <phoneticPr fontId="20" type="noConversion"/>
  </si>
  <si>
    <r>
      <rPr>
        <sz val="11"/>
        <rFont val="宋体"/>
        <family val="3"/>
        <charset val="134"/>
      </rPr>
      <t>低层</t>
    </r>
    <r>
      <rPr>
        <sz val="11"/>
        <rFont val="Arial"/>
        <family val="2"/>
      </rPr>
      <t>/16</t>
    </r>
    <phoneticPr fontId="20" type="noConversion"/>
  </si>
  <si>
    <r>
      <rPr>
        <sz val="11"/>
        <rFont val="宋体"/>
        <family val="3"/>
        <charset val="134"/>
      </rPr>
      <t>中层</t>
    </r>
    <r>
      <rPr>
        <sz val="11"/>
        <rFont val="Arial"/>
        <family val="2"/>
      </rPr>
      <t>/16</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</si>
</sst>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35" fillId="0" borderId="32" xfId="0" applyNumberFormat="1" applyFont="1" applyFill="1" applyBorder="1" applyAlignment="1" applyProtection="1">
      <alignment horizontal="center" vertical="center" wrapText="1"/>
      <protection locked="0"/>
    </xf>
    <xf numFmtId="0" fontId="135" fillId="0" borderId="75"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9" fillId="5" borderId="16" xfId="0" applyNumberFormat="1" applyFont="1" applyFill="1" applyBorder="1" applyAlignment="1" applyProtection="1">
      <alignment horizontal="center" vertical="center" wrapText="1"/>
    </xf>
    <xf numFmtId="0" fontId="99" fillId="2"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122500</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609525" cy="2323810"/>
        </a:xfrm>
        <a:prstGeom prst="rect">
          <a:avLst/>
        </a:prstGeom>
      </xdr:spPr>
    </xdr:pic>
    <xdr:clientData/>
  </xdr:twoCellAnchor>
  <xdr:twoCellAnchor editAs="oneCell">
    <xdr:from>
      <xdr:col>0</xdr:col>
      <xdr:colOff>0</xdr:colOff>
      <xdr:row>13</xdr:row>
      <xdr:rowOff>0</xdr:rowOff>
    </xdr:from>
    <xdr:to>
      <xdr:col>14</xdr:col>
      <xdr:colOff>684490</xdr:colOff>
      <xdr:row>39</xdr:row>
      <xdr:rowOff>151824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485715" cy="4609524"/>
        </a:xfrm>
        <a:prstGeom prst="rect">
          <a:avLst/>
        </a:prstGeom>
      </xdr:spPr>
    </xdr:pic>
    <xdr:clientData/>
  </xdr:twoCellAnchor>
  <xdr:twoCellAnchor editAs="oneCell">
    <xdr:from>
      <xdr:col>0</xdr:col>
      <xdr:colOff>0</xdr:colOff>
      <xdr:row>40</xdr:row>
      <xdr:rowOff>0</xdr:rowOff>
    </xdr:from>
    <xdr:to>
      <xdr:col>14</xdr:col>
      <xdr:colOff>598776</xdr:colOff>
      <xdr:row>53</xdr:row>
      <xdr:rowOff>114007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10400001" cy="2342857"/>
        </a:xfrm>
        <a:prstGeom prst="rect">
          <a:avLst/>
        </a:prstGeom>
      </xdr:spPr>
    </xdr:pic>
    <xdr:clientData/>
  </xdr:twoCellAnchor>
  <xdr:twoCellAnchor editAs="oneCell">
    <xdr:from>
      <xdr:col>0</xdr:col>
      <xdr:colOff>0</xdr:colOff>
      <xdr:row>54</xdr:row>
      <xdr:rowOff>0</xdr:rowOff>
    </xdr:from>
    <xdr:to>
      <xdr:col>11</xdr:col>
      <xdr:colOff>684772</xdr:colOff>
      <xdr:row>90</xdr:row>
      <xdr:rowOff>142086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8228572" cy="6314286"/>
        </a:xfrm>
        <a:prstGeom prst="rect">
          <a:avLst/>
        </a:prstGeom>
      </xdr:spPr>
    </xdr:pic>
    <xdr:clientData/>
  </xdr:twoCellAnchor>
  <xdr:twoCellAnchor editAs="oneCell">
    <xdr:from>
      <xdr:col>0</xdr:col>
      <xdr:colOff>0</xdr:colOff>
      <xdr:row>91</xdr:row>
      <xdr:rowOff>0</xdr:rowOff>
    </xdr:from>
    <xdr:to>
      <xdr:col>16</xdr:col>
      <xdr:colOff>236700</xdr:colOff>
      <xdr:row>94</xdr:row>
      <xdr:rowOff>18983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11409525" cy="533333"/>
        </a:xfrm>
        <a:prstGeom prst="rect">
          <a:avLst/>
        </a:prstGeom>
      </xdr:spPr>
    </xdr:pic>
    <xdr:clientData/>
  </xdr:twoCellAnchor>
  <xdr:twoCellAnchor editAs="oneCell">
    <xdr:from>
      <xdr:col>0</xdr:col>
      <xdr:colOff>0</xdr:colOff>
      <xdr:row>95</xdr:row>
      <xdr:rowOff>0</xdr:rowOff>
    </xdr:from>
    <xdr:to>
      <xdr:col>16</xdr:col>
      <xdr:colOff>217652</xdr:colOff>
      <xdr:row>96</xdr:row>
      <xdr:rowOff>171407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11390477" cy="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北京市房地产市场价值预评估</v>
      </c>
    </row>
    <row r="3" spans="1:2" s="1701" customFormat="1">
      <c r="A3" s="1702" t="s">
        <v>1111</v>
      </c>
      <c r="B3" s="1687" t="str">
        <f>'预评函-封皮'!B12</f>
        <v>湖南省隆回县人民法院</v>
      </c>
    </row>
    <row r="4" spans="1:2" s="1701" customFormat="1">
      <c r="A4" s="1702" t="s">
        <v>1112</v>
      </c>
      <c r="B4" s="1687" t="str">
        <f ca="1">'预评函-封皮'!B18</f>
        <v>杨红英（注册号:1120070085）、叶凌（注册号:1119970111)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受您的委托，我公司对北京市房地产进行了预评估。</v>
      </c>
    </row>
    <row r="7" spans="1:2">
      <c r="A7" s="1702" t="s">
        <v>1115</v>
      </c>
      <c r="B7" s="1689" t="str">
        <f>'预评函-1'!A6</f>
        <v>估价对象为北京市房地产，为所有。根据《不动产权证书》[]，估价对象建筑面积为77.75平方米，（分摊）出让国有建设用地使用权面积为平方米。估价对象用途为。</v>
      </c>
    </row>
    <row r="8" spans="1:2">
      <c r="A8" s="1702" t="s">
        <v>1116</v>
      </c>
      <c r="B8" s="1689" t="str">
        <f>'预评函-1'!A8</f>
        <v>为估价委托人了解估价对象房地产市场价值提供参考依据。</v>
      </c>
    </row>
    <row r="9" spans="1:2">
      <c r="A9" s="1702" t="s">
        <v>1117</v>
      </c>
      <c r="B9" s="1689" t="str">
        <f>'预评函-1'!A10</f>
        <v>2017年12月4日（评估专业人员实地查勘之日）</v>
      </c>
    </row>
    <row r="10" spans="1:2">
      <c r="A10" s="1702" t="s">
        <v>1118</v>
      </c>
      <c r="B10" s="1689" t="str">
        <f>'预评函-1'!A13</f>
        <v>本次估价的“房地产价值”是指在正常市场情况下，在价值时点2017年12月4日，估价对象规划用途为，假定未设立法定优先受偿款下的房地产市场价值。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北京市房地产</v>
      </c>
    </row>
    <row r="18" spans="1:2">
      <c r="A18" s="1702" t="s">
        <v>1126</v>
      </c>
      <c r="B18" s="1689">
        <f>'预评函-2（1）'!C6</f>
        <v>77.75</v>
      </c>
    </row>
    <row r="19" spans="1:2">
      <c r="A19" s="1702" t="s">
        <v>1127</v>
      </c>
      <c r="B19" s="1689">
        <f ca="1">'预评函-2（1）'!D7</f>
        <v>2494842</v>
      </c>
    </row>
    <row r="20" spans="1:2">
      <c r="A20" s="1702" t="s">
        <v>1165</v>
      </c>
      <c r="B20" s="1689" t="str">
        <f>'预评函-2（1）'!C7</f>
        <v>总价（元）</v>
      </c>
    </row>
    <row r="21" spans="1:2">
      <c r="A21" s="1702" t="s">
        <v>1128</v>
      </c>
      <c r="B21" s="1689">
        <f ca="1">'预评函-2（1）'!D9</f>
        <v>32088</v>
      </c>
    </row>
    <row r="22" spans="1:2">
      <c r="A22" s="1702" t="s">
        <v>1129</v>
      </c>
      <c r="B22" s="1689" t="str">
        <f ca="1">'预评函-2（1）'!D8</f>
        <v>贰佰肆拾玖万肆仟捌佰肆拾贰元整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2494842</v>
      </c>
    </row>
    <row r="30" spans="1:2">
      <c r="A30" s="1702" t="s">
        <v>1135</v>
      </c>
      <c r="B30" s="1689" t="str">
        <f ca="1">'预评函-2（1）'!D16</f>
        <v>贰佰肆拾玖万肆仟捌佰肆拾贰元整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2008360</v>
      </c>
    </row>
    <row r="38" spans="1:2">
      <c r="A38" s="1702" t="s">
        <v>1143</v>
      </c>
      <c r="B38" s="1689">
        <f ca="1">'预评函-2（2）'!E4</f>
        <v>25831</v>
      </c>
    </row>
    <row r="39" spans="1:2">
      <c r="A39" s="1702" t="s">
        <v>1144</v>
      </c>
      <c r="B39" s="1689" t="str">
        <f ca="1">'预评函-2（2）'!D5</f>
        <v>贰佰万捌仟叁佰陆拾元整</v>
      </c>
    </row>
    <row r="40" spans="1:2">
      <c r="A40" s="1702" t="s">
        <v>1145</v>
      </c>
      <c r="B40" s="1689">
        <f ca="1">'预评函-2（2）'!F4</f>
        <v>486482</v>
      </c>
    </row>
    <row r="41" spans="1:2">
      <c r="A41" s="1702" t="s">
        <v>1146</v>
      </c>
      <c r="B41" s="1689">
        <f ca="1">'预评函-2（2）'!G4</f>
        <v>6257</v>
      </c>
    </row>
    <row r="42" spans="1:2" s="1699" customFormat="1" ht="15.75" thickBot="1">
      <c r="A42" s="1703" t="s">
        <v>1147</v>
      </c>
      <c r="B42" s="1691" t="str">
        <f ca="1">'预评函-2（2）'!F5</f>
        <v>肆拾捌万陆仟肆佰捌拾贰元整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杨红英</v>
      </c>
    </row>
    <row r="53" spans="1:2">
      <c r="A53" s="1702" t="s">
        <v>1157</v>
      </c>
      <c r="B53" s="1689">
        <f>'预评函-3'!B4</f>
        <v>1120070085</v>
      </c>
    </row>
    <row r="54" spans="1:2">
      <c r="A54" s="1702" t="s">
        <v>1158</v>
      </c>
      <c r="B54" s="1693" t="str">
        <f>'预评函-3'!A5</f>
        <v>叶凌</v>
      </c>
    </row>
    <row r="55" spans="1:2" s="1699" customFormat="1" ht="15.75" thickBot="1">
      <c r="A55" s="1703" t="s">
        <v>1159</v>
      </c>
      <c r="B55" s="1691">
        <f ca="1">'预评函-3'!B5</f>
        <v>1119970111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1258</v>
      </c>
      <c r="B62" s="1689">
        <f ca="1">'预评函-2（1）'!D38</f>
        <v>32088</v>
      </c>
    </row>
    <row r="63" spans="1:2" s="1701" customFormat="1" ht="28.5">
      <c r="A63" s="1705" t="s">
        <v>1259</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1257</v>
      </c>
    </row>
    <row r="70" spans="1:2">
      <c r="A70" s="1702"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1545</v>
      </c>
      <c r="B1" s="1995" t="str">
        <f>IF(B6="北京市","北京市",C6)&amp;IF(E12="房屋所有权证",B28,E28)&amp;D5&amp;"预评估"</f>
        <v>北京市房地产市场价值预评估</v>
      </c>
      <c r="C1" s="1062"/>
      <c r="D1" s="1996"/>
      <c r="E1" s="1062"/>
      <c r="F1" s="1997" t="s">
        <v>1546</v>
      </c>
      <c r="G1" s="1682"/>
      <c r="I1" s="1019" t="str">
        <f>IF(B6="北京市","北京市",C6)&amp;IF(E12="房屋所有权证",B28,E28)&amp;"房地产"</f>
        <v>北京市房地产</v>
      </c>
    </row>
    <row r="2" spans="1:10" ht="13.5" thickTop="1">
      <c r="A2" s="1998" t="s">
        <v>1547</v>
      </c>
      <c r="B2" s="1087">
        <v>43073</v>
      </c>
      <c r="C2" s="1999" t="s">
        <v>1548</v>
      </c>
      <c r="D2" s="1087">
        <f>B2</f>
        <v>43073</v>
      </c>
      <c r="E2" s="1063"/>
      <c r="F2" s="1063"/>
      <c r="G2" s="1683"/>
      <c r="H2" s="1019"/>
    </row>
    <row r="3" spans="1:10" ht="13.5" thickBot="1">
      <c r="A3" s="2000" t="s">
        <v>1549</v>
      </c>
      <c r="B3" s="2001" t="s">
        <v>2815</v>
      </c>
      <c r="C3" s="1064">
        <f>SUMIF(注册房地产估价师,B3,估价师及机构信息!B3:B24)</f>
        <v>1120070085</v>
      </c>
      <c r="D3" s="2001" t="s">
        <v>2816</v>
      </c>
      <c r="E3" s="1065">
        <f ca="1">SUMIF(注册房地产估价师,D3,估价师及机构信息!B3:B24)</f>
        <v>1119970111</v>
      </c>
      <c r="F3" s="1066"/>
      <c r="G3" s="1684"/>
      <c r="H3" s="1019"/>
    </row>
    <row r="4" spans="1:10" ht="13.5" customHeight="1" thickTop="1">
      <c r="A4" s="2002" t="s">
        <v>1550</v>
      </c>
      <c r="B4" s="2719" t="s">
        <v>2817</v>
      </c>
      <c r="C4" s="2003" t="s">
        <v>1551</v>
      </c>
      <c r="D4" s="2004" t="s">
        <v>2818</v>
      </c>
      <c r="E4" s="1063"/>
      <c r="F4" s="1063"/>
      <c r="G4" s="1683"/>
    </row>
    <row r="5" spans="1:10">
      <c r="A5" s="2005" t="s">
        <v>1552</v>
      </c>
      <c r="B5" s="2006"/>
      <c r="C5" s="2007" t="s">
        <v>1553</v>
      </c>
      <c r="D5" s="2008" t="s">
        <v>2819</v>
      </c>
      <c r="E5" s="2009" t="s">
        <v>1554</v>
      </c>
      <c r="F5" s="2010"/>
      <c r="G5" s="2011"/>
      <c r="I5" s="1019" t="str">
        <f>IF(C16="否","截至估价时点，估价对象抵押权未见登记。","截至价值时点，估价对象已设定抵押。")</f>
        <v>截至估价时点，估价对象抵押权未见登记。</v>
      </c>
    </row>
    <row r="6" spans="1:10">
      <c r="A6" s="2012" t="s">
        <v>1555</v>
      </c>
      <c r="B6" s="2013" t="s">
        <v>2820</v>
      </c>
      <c r="C6" s="2014"/>
      <c r="D6" s="2015" t="s">
        <v>1556</v>
      </c>
      <c r="E6" s="1021"/>
      <c r="F6" s="1020"/>
      <c r="G6" s="1073"/>
      <c r="I6" s="1069" t="str">
        <f>IF(COUNTIF(B5,"*上海银行*"),"上海银行","")</f>
        <v/>
      </c>
    </row>
    <row r="7" spans="1:10" ht="13.5" thickBot="1">
      <c r="A7" s="2000" t="s">
        <v>1557</v>
      </c>
      <c r="B7" s="2016" t="s">
        <v>2821</v>
      </c>
      <c r="C7" s="2017" t="str">
        <f>IF(B7="自然人","姓名","名称")</f>
        <v>姓名</v>
      </c>
      <c r="D7" s="2018"/>
      <c r="E7" s="1067"/>
      <c r="F7" s="1066"/>
      <c r="G7" s="1684"/>
    </row>
    <row r="8" spans="1:10" ht="13.5" thickTop="1">
      <c r="A8" s="2805" t="s">
        <v>1558</v>
      </c>
      <c r="B8" s="2019" t="s">
        <v>1559</v>
      </c>
      <c r="C8" s="2818" t="s">
        <v>2888</v>
      </c>
      <c r="D8" s="2819"/>
      <c r="E8" s="2020" t="s">
        <v>1560</v>
      </c>
      <c r="F8" s="2021" t="s">
        <v>1561</v>
      </c>
      <c r="G8" s="690">
        <f>C6</f>
        <v>0</v>
      </c>
    </row>
    <row r="9" spans="1:10" ht="25.5">
      <c r="A9" s="2805"/>
      <c r="B9" s="344" t="s">
        <v>1562</v>
      </c>
      <c r="C9" s="2006"/>
      <c r="D9" s="2022" t="s">
        <v>2824</v>
      </c>
      <c r="E9" s="1009" t="s">
        <v>1563</v>
      </c>
      <c r="F9" s="995" t="s">
        <v>485</v>
      </c>
      <c r="G9" s="1011"/>
    </row>
    <row r="10" spans="1:10" ht="13.5" thickBot="1">
      <c r="A10" s="2805"/>
      <c r="B10" s="344" t="s">
        <v>1564</v>
      </c>
      <c r="C10" s="2820"/>
      <c r="D10" s="2821"/>
      <c r="E10" s="2023" t="s">
        <v>1565</v>
      </c>
      <c r="F10" s="1012" t="s">
        <v>2822</v>
      </c>
      <c r="G10" s="1013"/>
    </row>
    <row r="11" spans="1:10" ht="13.5" thickBot="1">
      <c r="A11" s="2805"/>
      <c r="B11" s="2024" t="s">
        <v>1566</v>
      </c>
      <c r="C11" s="2822"/>
      <c r="D11" s="2823"/>
      <c r="E11" s="1021"/>
      <c r="F11" s="1020"/>
      <c r="G11" s="1073"/>
    </row>
    <row r="12" spans="1:10" ht="24.75" thickBot="1">
      <c r="A12" s="2809" t="s">
        <v>1567</v>
      </c>
      <c r="B12" s="2025" t="s">
        <v>1568</v>
      </c>
      <c r="C12" s="1015">
        <v>77.75</v>
      </c>
      <c r="D12" s="2025" t="s">
        <v>1569</v>
      </c>
      <c r="E12" s="2026" t="s">
        <v>1570</v>
      </c>
      <c r="F12" s="2027" t="s">
        <v>1571</v>
      </c>
      <c r="G12" s="1073"/>
    </row>
    <row r="13" spans="1:10" ht="21" customHeight="1" thickBot="1">
      <c r="A13" s="2810"/>
      <c r="B13" s="2028" t="s">
        <v>1572</v>
      </c>
      <c r="C13" s="1016"/>
      <c r="D13" s="2028" t="s">
        <v>1573</v>
      </c>
      <c r="E13" s="2029" t="s">
        <v>1570</v>
      </c>
      <c r="F13" s="1020"/>
      <c r="G13" s="1073"/>
      <c r="I13" s="2828"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1576</v>
      </c>
      <c r="C15" s="1068"/>
      <c r="D15" s="1066"/>
      <c r="E15" s="1066"/>
      <c r="F15" s="1066"/>
      <c r="G15" s="1684"/>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t="s">
        <v>2823</v>
      </c>
      <c r="D16" s="2038" t="s">
        <v>1579</v>
      </c>
      <c r="E16" s="2039"/>
      <c r="F16" s="2040" t="str">
        <f>IF(AND(C16="是",E16="否"),"是否提供他项权证或相关说明","")</f>
        <v/>
      </c>
      <c r="G16" s="2039"/>
      <c r="I16" s="1070"/>
      <c r="J16" s="1019"/>
    </row>
    <row r="17" spans="1:15" ht="13.5" customHeight="1">
      <c r="A17" s="2041" t="s">
        <v>1580</v>
      </c>
      <c r="B17" s="2824" t="s">
        <v>1581</v>
      </c>
      <c r="C17" s="2825"/>
      <c r="D17" s="2826" t="s">
        <v>1582</v>
      </c>
      <c r="E17" s="2827"/>
      <c r="F17" s="2042" t="s">
        <v>1583</v>
      </c>
      <c r="G17" s="2043"/>
      <c r="J17" s="1019"/>
    </row>
    <row r="18" spans="1:15" ht="24">
      <c r="A18" s="2041"/>
      <c r="B18" s="2044" t="s">
        <v>1584</v>
      </c>
      <c r="C18" s="2011" t="s">
        <v>1585</v>
      </c>
      <c r="D18" s="2045" t="s">
        <v>1586</v>
      </c>
      <c r="E18" s="2046" t="s">
        <v>1587</v>
      </c>
      <c r="F18" s="2047"/>
      <c r="G18" s="1868"/>
      <c r="H18" s="1019"/>
      <c r="J18" s="1019"/>
    </row>
    <row r="19" spans="1:15" ht="21.75" customHeight="1" thickBot="1">
      <c r="A19" s="2041"/>
      <c r="B19" s="2048"/>
      <c r="C19" s="2029"/>
      <c r="D19" s="2049"/>
      <c r="E19" s="1020"/>
      <c r="F19" s="1020"/>
      <c r="G19" s="1868"/>
    </row>
    <row r="20" spans="1:15">
      <c r="A20" s="2050" t="s">
        <v>1588</v>
      </c>
      <c r="B20" s="2051" t="s">
        <v>1589</v>
      </c>
      <c r="C20" s="2052"/>
      <c r="D20" s="2053" t="s">
        <v>1589</v>
      </c>
      <c r="E20" s="2052"/>
      <c r="F20" s="1020"/>
      <c r="G20" s="1868"/>
    </row>
    <row r="21" spans="1:15">
      <c r="A21" s="2054"/>
      <c r="B21" s="2055" t="s">
        <v>1590</v>
      </c>
      <c r="C21" s="2056"/>
      <c r="D21" s="2041" t="s">
        <v>1590</v>
      </c>
      <c r="E21" s="2057"/>
      <c r="F21" s="1020"/>
      <c r="G21" s="1868"/>
    </row>
    <row r="22" spans="1:15">
      <c r="A22" s="2054"/>
      <c r="B22" s="2058" t="s">
        <v>1591</v>
      </c>
      <c r="C22" s="2059"/>
      <c r="D22" s="2058" t="s">
        <v>1591</v>
      </c>
      <c r="E22" s="2057"/>
      <c r="F22" s="1020"/>
      <c r="G22" s="1868"/>
    </row>
    <row r="23" spans="1:15" s="1866" customFormat="1" ht="21" thickBot="1">
      <c r="A23" s="2060"/>
      <c r="B23" s="2061" t="s">
        <v>1592</v>
      </c>
      <c r="C23" s="2062"/>
      <c r="D23" s="2061" t="s">
        <v>1593</v>
      </c>
      <c r="E23" s="2063"/>
      <c r="F23" s="1020"/>
      <c r="G23" s="1868"/>
      <c r="H23" s="2064"/>
      <c r="I23" s="1867"/>
      <c r="K23" s="1865"/>
      <c r="L23" s="1865"/>
      <c r="M23" s="1865"/>
      <c r="O23" s="1867"/>
    </row>
    <row r="24" spans="1:15" ht="13.5" thickBot="1">
      <c r="A24" s="1071" t="s">
        <v>1594</v>
      </c>
      <c r="B24" s="1020"/>
      <c r="C24" s="1020"/>
      <c r="D24" s="1020"/>
      <c r="E24" s="1020"/>
      <c r="F24" s="1020"/>
      <c r="G24" s="1869"/>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5"/>
      <c r="L26" s="1081"/>
      <c r="M26" s="1081"/>
      <c r="O26" s="1082"/>
    </row>
    <row r="27" spans="1:15">
      <c r="A27" s="1006" t="s">
        <v>1598</v>
      </c>
      <c r="B27" s="1003"/>
      <c r="C27" s="2812" t="s">
        <v>1598</v>
      </c>
      <c r="D27" s="2813"/>
      <c r="E27" s="1003"/>
      <c r="F27" s="1010" t="s">
        <v>1598</v>
      </c>
      <c r="G27" s="1003"/>
      <c r="I27" s="1070"/>
      <c r="K27" s="1070"/>
    </row>
    <row r="28" spans="1:15">
      <c r="A28" s="1007" t="s">
        <v>1599</v>
      </c>
      <c r="B28" s="978"/>
      <c r="C28" s="2814" t="s">
        <v>1600</v>
      </c>
      <c r="D28" s="2815"/>
      <c r="E28" s="978"/>
      <c r="F28" s="1894" t="s">
        <v>1600</v>
      </c>
      <c r="G28" s="978"/>
      <c r="I28" s="1070"/>
      <c r="K28" s="1070"/>
    </row>
    <row r="29" spans="1:15">
      <c r="A29" s="1007" t="s">
        <v>1601</v>
      </c>
      <c r="B29" s="978"/>
      <c r="C29" s="2814" t="s">
        <v>1601</v>
      </c>
      <c r="D29" s="2815"/>
      <c r="E29" s="978"/>
      <c r="F29" s="1894" t="s">
        <v>1602</v>
      </c>
      <c r="G29" s="978"/>
      <c r="I29" s="1070"/>
      <c r="K29" s="1070"/>
    </row>
    <row r="30" spans="1:15">
      <c r="A30" s="1007" t="s">
        <v>1603</v>
      </c>
      <c r="B30" s="978"/>
      <c r="C30" s="2834" t="s">
        <v>1604</v>
      </c>
      <c r="D30" s="2067"/>
      <c r="E30" s="1022" t="str">
        <f>E31&amp;" "&amp;E32&amp;" "&amp;E33&amp;" "&amp;E34</f>
        <v xml:space="preserve">   </v>
      </c>
      <c r="F30" s="1894" t="s">
        <v>1605</v>
      </c>
      <c r="G30" s="978"/>
    </row>
    <row r="31" spans="1:15">
      <c r="A31" s="1007" t="s">
        <v>1606</v>
      </c>
      <c r="B31" s="978"/>
      <c r="C31" s="2835"/>
      <c r="D31" s="1893" t="s">
        <v>1607</v>
      </c>
      <c r="E31" s="978"/>
      <c r="F31" s="1894" t="s">
        <v>1608</v>
      </c>
      <c r="G31" s="978"/>
    </row>
    <row r="32" spans="1:15" ht="24.75" thickBot="1">
      <c r="A32" s="1008" t="s">
        <v>1609</v>
      </c>
      <c r="B32" s="1004"/>
      <c r="C32" s="2835"/>
      <c r="D32" s="1893" t="s">
        <v>1610</v>
      </c>
      <c r="E32" s="978"/>
      <c r="F32" s="1894" t="s">
        <v>1611</v>
      </c>
      <c r="G32" s="978"/>
    </row>
    <row r="33" spans="1:7">
      <c r="A33" s="1006" t="s">
        <v>1612</v>
      </c>
      <c r="B33" s="1003"/>
      <c r="C33" s="2835"/>
      <c r="D33" s="1893" t="s">
        <v>1613</v>
      </c>
      <c r="E33" s="978"/>
      <c r="F33" s="1894" t="s">
        <v>1614</v>
      </c>
      <c r="G33" s="978"/>
    </row>
    <row r="34" spans="1:7" ht="13.5" thickBot="1">
      <c r="A34" s="1007" t="s">
        <v>1615</v>
      </c>
      <c r="B34" s="978"/>
      <c r="C34" s="2836"/>
      <c r="D34" s="1893" t="s">
        <v>1616</v>
      </c>
      <c r="E34" s="978"/>
      <c r="F34" s="1895" t="s">
        <v>1617</v>
      </c>
      <c r="G34" s="1005"/>
    </row>
    <row r="35" spans="1:7">
      <c r="A35" s="1007" t="s">
        <v>1568</v>
      </c>
      <c r="B35" s="978"/>
      <c r="C35" s="2814" t="s">
        <v>1618</v>
      </c>
      <c r="D35" s="2815"/>
      <c r="E35" s="978"/>
      <c r="F35" s="1018" t="s">
        <v>1619</v>
      </c>
      <c r="G35" s="1003"/>
    </row>
    <row r="36" spans="1:7" ht="13.5" thickBot="1">
      <c r="A36" s="1007" t="s">
        <v>1620</v>
      </c>
      <c r="B36" s="978"/>
      <c r="C36" s="2816" t="s">
        <v>1621</v>
      </c>
      <c r="D36" s="2817"/>
      <c r="E36" s="1004"/>
      <c r="F36" s="1891" t="s">
        <v>1622</v>
      </c>
      <c r="G36" s="978"/>
    </row>
    <row r="37" spans="1:7" ht="13.5" thickBot="1">
      <c r="A37" s="1007" t="s">
        <v>1623</v>
      </c>
      <c r="B37" s="978"/>
      <c r="C37" s="2806" t="s">
        <v>1624</v>
      </c>
      <c r="D37" s="2068" t="s">
        <v>1608</v>
      </c>
      <c r="E37" s="1003"/>
      <c r="F37" s="1895" t="s">
        <v>1625</v>
      </c>
      <c r="G37" s="1004"/>
    </row>
    <row r="38" spans="1:7">
      <c r="A38" s="1007" t="s">
        <v>1626</v>
      </c>
      <c r="B38" s="978"/>
      <c r="C38" s="2807"/>
      <c r="D38" s="1893" t="s">
        <v>1615</v>
      </c>
      <c r="E38" s="978"/>
      <c r="F38" s="1010" t="s">
        <v>1627</v>
      </c>
      <c r="G38" s="1003"/>
    </row>
    <row r="39" spans="1:7">
      <c r="A39" s="1007" t="s">
        <v>1628</v>
      </c>
      <c r="B39" s="978"/>
      <c r="C39" s="2807" t="s">
        <v>1629</v>
      </c>
      <c r="D39" s="1893" t="s">
        <v>1568</v>
      </c>
      <c r="E39" s="978"/>
      <c r="F39" s="1894" t="s">
        <v>1630</v>
      </c>
      <c r="G39" s="978"/>
    </row>
    <row r="40" spans="1:7" ht="24.75" customHeight="1" thickBot="1">
      <c r="A40" s="1008" t="s">
        <v>1631</v>
      </c>
      <c r="B40" s="1004"/>
      <c r="C40" s="2808"/>
      <c r="D40" s="1896" t="s">
        <v>1572</v>
      </c>
      <c r="E40" s="1004"/>
      <c r="F40" s="1895" t="s">
        <v>1632</v>
      </c>
      <c r="G40" s="1004"/>
    </row>
    <row r="41" spans="1:7">
      <c r="A41" s="1009" t="s">
        <v>1633</v>
      </c>
      <c r="B41" s="1059"/>
      <c r="C41" s="2829" t="s">
        <v>1633</v>
      </c>
      <c r="D41" s="2830"/>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31" t="s">
        <v>1636</v>
      </c>
      <c r="D48" s="2832"/>
      <c r="E48" s="1054"/>
      <c r="F48" s="1895" t="s">
        <v>1637</v>
      </c>
      <c r="G48" s="1004"/>
    </row>
    <row r="49" spans="1:15">
      <c r="A49" s="1007" t="s">
        <v>1638</v>
      </c>
      <c r="B49" s="1053"/>
      <c r="C49" s="2806" t="s">
        <v>1639</v>
      </c>
      <c r="D49" s="2833"/>
      <c r="E49" s="1055"/>
      <c r="F49" s="1083"/>
      <c r="G49" s="1084"/>
    </row>
    <row r="50" spans="1:15" ht="13.5" thickBot="1">
      <c r="A50" s="1007" t="s">
        <v>1640</v>
      </c>
      <c r="B50" s="1053"/>
      <c r="C50" s="2808" t="s">
        <v>1641</v>
      </c>
      <c r="D50" s="2811"/>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A54" sqref="A5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3"/>
      <c r="E1" s="1853"/>
      <c r="AE1" s="1236"/>
      <c r="AF1" s="1236"/>
      <c r="AG1" s="1236"/>
      <c r="AH1" s="1236"/>
      <c r="AI1" s="1236"/>
      <c r="AJ1" s="1236"/>
      <c r="AK1" s="1236"/>
      <c r="AL1" s="1236"/>
      <c r="AM1" s="1236"/>
      <c r="AN1" s="1236"/>
      <c r="AO1" s="1236"/>
    </row>
    <row r="2" spans="1:41" s="2077" customFormat="1" ht="15.75" thickBot="1">
      <c r="A2" s="2074" t="s">
        <v>1644</v>
      </c>
      <c r="B2" s="1208">
        <f>项目基本情况!D2</f>
        <v>43073</v>
      </c>
      <c r="C2" s="1855"/>
      <c r="D2" s="2839"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2826</v>
      </c>
      <c r="C3" s="1855"/>
      <c r="D3" s="2840"/>
      <c r="E3" s="1187"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4" t="s">
        <v>1648</v>
      </c>
      <c r="B4" s="2078" t="s">
        <v>2827</v>
      </c>
      <c r="C4" s="1855"/>
      <c r="D4" s="2840"/>
      <c r="E4" s="1187"/>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7">
        <f>项目基本情况!C12</f>
        <v>77.75</v>
      </c>
      <c r="C5" s="1855"/>
      <c r="D5" s="2080" t="s">
        <v>1650</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8">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2825</v>
      </c>
      <c r="C10" s="1855"/>
      <c r="D10" s="2074" t="s">
        <v>1654</v>
      </c>
      <c r="E10" s="2086" t="s">
        <v>1655</v>
      </c>
      <c r="F10" s="1144"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89">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65962</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0">
        <f>IF(B12="",B11-(YEAR($B$2)-B26+B23),ROUNDDOWN(MIN((B12-$B$2)/365,B11),2))</f>
        <v>62.7</v>
      </c>
      <c r="C13" s="2095"/>
      <c r="D13" s="2096" t="s">
        <v>1663</v>
      </c>
      <c r="E13" s="39"/>
      <c r="F13" s="1849" t="s">
        <v>1664</v>
      </c>
      <c r="G13" s="1855"/>
      <c r="H13" s="1855"/>
      <c r="I13" s="2841" t="s">
        <v>2829</v>
      </c>
      <c r="J13" s="2842"/>
      <c r="K13" s="2720"/>
      <c r="L13" s="2721"/>
      <c r="M13" s="2721"/>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1">
        <f>IF(ISERROR(ROUND(POWER(1+B15,B11-B13)*(POWER(1+B15,B13)-1)/(POWER(1+B15,B11)-1),3)),0,ROUND(POWER(1+B15,B11-B13)*(POWER(1+B15,B13)-1)/(POWER(1+B15,B11)-1),3))</f>
        <v>0.97199999999999998</v>
      </c>
      <c r="C14" s="1855"/>
      <c r="D14" s="2097" t="s">
        <v>1666</v>
      </c>
      <c r="E14" s="709">
        <v>200</v>
      </c>
      <c r="F14" s="1848"/>
      <c r="G14" s="1855"/>
      <c r="H14" s="1855"/>
      <c r="I14" s="2722" t="s">
        <v>2830</v>
      </c>
      <c r="J14" s="2723">
        <v>0</v>
      </c>
      <c r="K14" s="2720"/>
      <c r="L14" s="2724"/>
      <c r="M14" s="2724"/>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1667</v>
      </c>
      <c r="B15" s="30">
        <v>3.5000000000000003E-2</v>
      </c>
      <c r="C15" s="1855"/>
      <c r="D15" s="2093" t="s">
        <v>1668</v>
      </c>
      <c r="E15" s="38">
        <f>E14-E16</f>
        <v>200</v>
      </c>
      <c r="F15" s="1850"/>
      <c r="G15" s="1855"/>
      <c r="H15" s="1855"/>
      <c r="I15" s="2722" t="s">
        <v>2831</v>
      </c>
      <c r="J15" s="2725" t="s">
        <v>2846</v>
      </c>
      <c r="K15" s="2720"/>
      <c r="L15" s="2724"/>
      <c r="M15" s="2726"/>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1669</v>
      </c>
      <c r="B16" s="30">
        <v>0.04</v>
      </c>
      <c r="C16" s="1855"/>
      <c r="D16" s="2098" t="s">
        <v>1670</v>
      </c>
      <c r="E16" s="710">
        <v>0</v>
      </c>
      <c r="F16" s="1851"/>
      <c r="G16" s="1855"/>
      <c r="H16" s="1855"/>
      <c r="I16" s="2722" t="s">
        <v>2832</v>
      </c>
      <c r="J16" s="2725" t="s">
        <v>2847</v>
      </c>
      <c r="K16" s="2720"/>
      <c r="L16" s="2724"/>
      <c r="M16" s="2724"/>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6">
        <v>0.08</v>
      </c>
      <c r="C17" s="1855"/>
      <c r="D17" s="2084" t="s">
        <v>1672</v>
      </c>
      <c r="E17" s="985">
        <f>2220+200</f>
        <v>2420</v>
      </c>
      <c r="F17" s="1236"/>
      <c r="G17" s="1855"/>
      <c r="H17" s="1855"/>
      <c r="I17" s="2722" t="s">
        <v>2833</v>
      </c>
      <c r="J17" s="2727">
        <f>ROUND(1-(1-J14)*J15/J16,2)</f>
        <v>0.92</v>
      </c>
      <c r="K17" s="2720"/>
      <c r="L17" s="2724"/>
      <c r="M17" s="2724"/>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188155</v>
      </c>
      <c r="F18" s="1319">
        <f>ROUND(E5*E17*IF(B25=0,1,E20),0)</f>
        <v>0</v>
      </c>
      <c r="G18" s="1855"/>
      <c r="H18" s="1855"/>
      <c r="I18" s="2728" t="s">
        <v>2834</v>
      </c>
      <c r="J18" s="2729">
        <v>0.5</v>
      </c>
      <c r="K18" s="2720"/>
      <c r="L18" s="2724"/>
      <c r="M18" s="2724"/>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19" t="str">
        <f>IF(B25=0,"——",ROUND(E5*E17*(1-E20),0))</f>
        <v>——</v>
      </c>
      <c r="G19" s="1855"/>
      <c r="H19" s="1855"/>
      <c r="I19" s="2843" t="s">
        <v>2835</v>
      </c>
      <c r="J19" s="2843"/>
      <c r="K19" s="2843"/>
      <c r="L19" s="2843"/>
      <c r="M19" s="2843"/>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2737">
        <v>0.96</v>
      </c>
      <c r="F20" s="1236"/>
      <c r="G20" s="1855"/>
      <c r="H20" s="1855"/>
      <c r="I20" s="2730" t="s">
        <v>2836</v>
      </c>
      <c r="J20" s="2731" t="s">
        <v>2837</v>
      </c>
      <c r="K20" s="2731" t="s">
        <v>2838</v>
      </c>
      <c r="L20" s="2731" t="s">
        <v>2839</v>
      </c>
      <c r="M20" s="2731" t="s">
        <v>2840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1.5</v>
      </c>
      <c r="C21" s="1855"/>
      <c r="D21" s="2093" t="s">
        <v>1676</v>
      </c>
      <c r="E21" s="711">
        <v>0.04</v>
      </c>
      <c r="F21" s="1852" t="s">
        <v>1677</v>
      </c>
      <c r="G21" s="1855"/>
      <c r="H21" s="1855"/>
      <c r="I21" s="2730" t="s">
        <v>2841</v>
      </c>
      <c r="J21" s="2731">
        <v>100</v>
      </c>
      <c r="K21" s="2731" t="s">
        <v>2842</v>
      </c>
      <c r="L21" s="2731">
        <v>95</v>
      </c>
      <c r="M21" s="2732">
        <v>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3">
        <v>1.5</v>
      </c>
      <c r="C22" s="1855"/>
      <c r="D22" s="2093" t="s">
        <v>1679</v>
      </c>
      <c r="E22" s="40">
        <v>0.08</v>
      </c>
      <c r="F22" s="1852" t="s">
        <v>1680</v>
      </c>
      <c r="G22" s="1855"/>
      <c r="H22" s="1855"/>
      <c r="I22" s="2730" t="s">
        <v>2843</v>
      </c>
      <c r="J22" s="2731">
        <v>100</v>
      </c>
      <c r="K22" s="2731" t="s">
        <v>2842</v>
      </c>
      <c r="L22" s="2731">
        <f>L21</f>
        <v>95</v>
      </c>
      <c r="M22" s="2732">
        <v>0.5</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1.5</v>
      </c>
      <c r="C23" s="1855"/>
      <c r="D23" s="2093" t="s">
        <v>1682</v>
      </c>
      <c r="E23" s="37">
        <v>200</v>
      </c>
      <c r="F23" s="1852" t="s">
        <v>1683</v>
      </c>
      <c r="G23" s="1855"/>
      <c r="H23" s="1855"/>
      <c r="I23" s="2730" t="s">
        <v>2844</v>
      </c>
      <c r="J23" s="2731">
        <v>100</v>
      </c>
      <c r="K23" s="2731" t="s">
        <v>2845</v>
      </c>
      <c r="L23" s="2731">
        <f>L21</f>
        <v>95</v>
      </c>
      <c r="M23" s="2732">
        <f>1-M21-M22</f>
        <v>0.19999999999999996</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1.5</v>
      </c>
      <c r="C24" s="1855"/>
      <c r="D24" s="2098" t="s">
        <v>1685</v>
      </c>
      <c r="E24" s="1818">
        <v>1.4999999999999999E-2</v>
      </c>
      <c r="F24" s="1852" t="s">
        <v>1686</v>
      </c>
      <c r="G24" s="1855"/>
      <c r="H24" s="1855"/>
      <c r="I24" s="2733" t="s">
        <v>2834</v>
      </c>
      <c r="J24" s="2734">
        <f>1-J18</f>
        <v>0.5</v>
      </c>
      <c r="K24" s="2731" t="s">
        <v>2833</v>
      </c>
      <c r="L24" s="2735">
        <f>ROUND((L21*M21+L22*M22+L23*M23)/100,2)</f>
        <v>0.95</v>
      </c>
      <c r="M24" s="2736"/>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2">
        <f>B21-B22</f>
        <v>0</v>
      </c>
      <c r="C25" s="1236"/>
      <c r="D25" s="2088" t="s">
        <v>1688</v>
      </c>
      <c r="E25" s="711">
        <v>0.02</v>
      </c>
      <c r="F25" s="1852" t="s">
        <v>1689</v>
      </c>
      <c r="I25" s="1853"/>
      <c r="AE25" s="1236"/>
      <c r="AF25" s="1236"/>
      <c r="AG25" s="1236"/>
      <c r="AH25" s="1236"/>
      <c r="AI25" s="1236"/>
      <c r="AJ25" s="1236"/>
      <c r="AK25" s="1236"/>
      <c r="AL25" s="1236"/>
      <c r="AM25" s="1236"/>
      <c r="AN25" s="1236"/>
      <c r="AO25" s="1236"/>
    </row>
    <row r="26" spans="1:41" ht="15.75" thickBot="1">
      <c r="A26" s="2107" t="s">
        <v>1690</v>
      </c>
      <c r="B26" s="1093">
        <v>2014</v>
      </c>
      <c r="C26" s="1855"/>
      <c r="D26" s="2093" t="s">
        <v>1691</v>
      </c>
      <c r="E26" s="40">
        <v>0.02</v>
      </c>
      <c r="F26" s="1852" t="s">
        <v>1689</v>
      </c>
      <c r="G26" s="2076"/>
      <c r="H26" s="2076"/>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4.7500000000000001E-2</v>
      </c>
      <c r="F27" s="1852" t="s">
        <v>1693</v>
      </c>
      <c r="G27" s="2076"/>
      <c r="H27" s="2076"/>
      <c r="K27" s="1855"/>
      <c r="N27" s="1855"/>
      <c r="AE27" s="1236"/>
      <c r="AF27" s="1236"/>
      <c r="AG27" s="1236"/>
      <c r="AH27" s="1236"/>
      <c r="AI27" s="1236"/>
      <c r="AJ27" s="1236"/>
      <c r="AK27" s="1236"/>
      <c r="AL27" s="1236"/>
      <c r="AM27" s="1236"/>
      <c r="AN27" s="1236"/>
      <c r="AO27" s="1236"/>
    </row>
    <row r="28" spans="1:41" ht="15" thickBot="1">
      <c r="A28" s="2108" t="s">
        <v>1694</v>
      </c>
      <c r="B28" s="2109" t="s">
        <v>2828</v>
      </c>
      <c r="C28" s="1236"/>
      <c r="D28" s="2110" t="s">
        <v>1695</v>
      </c>
      <c r="E28" s="988">
        <v>0.25</v>
      </c>
      <c r="G28" s="2076"/>
      <c r="H28" s="2076"/>
      <c r="K28" s="1855"/>
      <c r="N28" s="1855"/>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4000</v>
      </c>
      <c r="C29" s="1236"/>
      <c r="D29" s="2097" t="s">
        <v>1696</v>
      </c>
      <c r="E29" s="987">
        <f>E30+E31</f>
        <v>5.5000000000000007E-2</v>
      </c>
      <c r="F29" s="1849"/>
      <c r="G29" s="2076"/>
      <c r="H29" s="2076"/>
      <c r="K29" s="1855"/>
      <c r="N29" s="1855"/>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60">
        <f>IF(B2&lt;DATE(2016,5,1),0,E30)</f>
        <v>0.05</v>
      </c>
      <c r="G30" s="2076"/>
      <c r="H30" s="2076"/>
      <c r="K30" s="1855"/>
      <c r="N30" s="1855"/>
      <c r="AE30" s="1236"/>
      <c r="AF30" s="1236"/>
      <c r="AG30" s="1236"/>
      <c r="AH30" s="1236"/>
      <c r="AI30" s="1236"/>
      <c r="AJ30" s="1236"/>
      <c r="AK30" s="1236"/>
      <c r="AL30" s="1236"/>
      <c r="AM30" s="1236"/>
      <c r="AN30" s="1236"/>
      <c r="AO30" s="1236"/>
    </row>
    <row r="31" spans="1:41" ht="14.25">
      <c r="A31" s="2091" t="s">
        <v>1699</v>
      </c>
      <c r="B31" s="30">
        <v>0.03</v>
      </c>
      <c r="C31" s="1236"/>
      <c r="D31" s="2111" t="s">
        <v>1700</v>
      </c>
      <c r="E31" s="42">
        <f>E30*(E32+E33+E34)+E35</f>
        <v>5.000000000000001E-3</v>
      </c>
      <c r="F31" s="1849"/>
      <c r="G31" s="2076"/>
      <c r="H31" s="2076"/>
      <c r="K31" s="1855"/>
      <c r="N31" s="1855"/>
      <c r="AE31" s="1236"/>
      <c r="AF31" s="1236"/>
      <c r="AG31" s="1236"/>
      <c r="AH31" s="1236"/>
      <c r="AI31" s="1236"/>
      <c r="AJ31" s="1236"/>
      <c r="AK31" s="1236"/>
      <c r="AL31" s="1236"/>
      <c r="AM31" s="1236"/>
      <c r="AN31" s="1236"/>
      <c r="AO31" s="1236"/>
    </row>
    <row r="32" spans="1:41" ht="14.25">
      <c r="A32" s="2091" t="s">
        <v>1701</v>
      </c>
      <c r="B32" s="30">
        <v>0.1</v>
      </c>
      <c r="C32" s="1236"/>
      <c r="D32" s="2112" t="s">
        <v>1702</v>
      </c>
      <c r="E32" s="43">
        <v>0.05</v>
      </c>
      <c r="F32" s="1847" t="s">
        <v>1703</v>
      </c>
      <c r="G32" s="2076"/>
      <c r="H32" s="2076"/>
      <c r="K32" s="1855"/>
      <c r="L32" s="1855"/>
      <c r="M32" s="1855"/>
      <c r="N32" s="1855"/>
      <c r="AE32" s="1236"/>
      <c r="AF32" s="1236"/>
      <c r="AG32" s="1236"/>
      <c r="AH32" s="1236"/>
      <c r="AI32" s="1236"/>
      <c r="AJ32" s="1236"/>
      <c r="AK32" s="1236"/>
      <c r="AL32" s="1236"/>
      <c r="AM32" s="1236"/>
      <c r="AN32" s="1236"/>
      <c r="AO32" s="1236"/>
    </row>
    <row r="33" spans="1:41" ht="14.25">
      <c r="A33" s="2091" t="s">
        <v>1704</v>
      </c>
      <c r="B33" s="1379">
        <f>收益法!J54</f>
        <v>-3</v>
      </c>
      <c r="C33" s="1236"/>
      <c r="D33" s="2112" t="s">
        <v>1705</v>
      </c>
      <c r="E33" s="41">
        <v>0.03</v>
      </c>
      <c r="F33" s="1846" t="s">
        <v>1706</v>
      </c>
      <c r="G33" s="2076"/>
      <c r="H33" s="2076"/>
      <c r="K33" s="1855"/>
      <c r="L33" s="1855"/>
      <c r="M33" s="1855"/>
      <c r="N33" s="1855"/>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6" t="s">
        <v>1708</v>
      </c>
      <c r="G34" s="2113"/>
      <c r="H34" s="2113"/>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4" t="s">
        <v>1711</v>
      </c>
      <c r="G35" s="2113"/>
      <c r="H35" s="2113"/>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0.03</v>
      </c>
      <c r="F36" s="1850" t="s">
        <v>1713</v>
      </c>
      <c r="G36" s="2113"/>
      <c r="H36" s="2113"/>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50" t="s">
        <v>1715</v>
      </c>
      <c r="G37" s="2076"/>
      <c r="H37" s="2076"/>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8"/>
      <c r="G38" s="1853"/>
      <c r="H38" s="1853"/>
      <c r="I38" s="2076"/>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8"/>
      <c r="G39" s="2113"/>
      <c r="H39" s="2113"/>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8"/>
      <c r="G40" s="2076"/>
      <c r="H40" s="2076"/>
      <c r="I40" s="1855"/>
      <c r="J40" s="1855"/>
      <c r="K40" s="1855"/>
      <c r="L40" s="1855"/>
      <c r="M40" s="1855"/>
      <c r="N40" s="1855"/>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8" t="s">
        <v>1721</v>
      </c>
      <c r="G41" s="2122" t="s">
        <v>1722</v>
      </c>
      <c r="H41" s="2076"/>
      <c r="I41" s="1855"/>
      <c r="J41" s="1855"/>
      <c r="K41" s="1855"/>
      <c r="L41" s="1855"/>
      <c r="M41" s="1855"/>
      <c r="N41" s="1855"/>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8">
        <v>30</v>
      </c>
      <c r="G42" s="2076"/>
      <c r="H42" s="2076"/>
      <c r="I42" s="1855"/>
      <c r="J42" s="1855"/>
      <c r="K42" s="1855"/>
      <c r="L42" s="1855"/>
      <c r="M42" s="1855"/>
      <c r="N42" s="1855"/>
      <c r="AE42" s="1236"/>
      <c r="AF42" s="1236"/>
      <c r="AG42" s="1236"/>
      <c r="AH42" s="1236"/>
      <c r="AI42" s="1236"/>
      <c r="AJ42" s="1236"/>
      <c r="AK42" s="1236"/>
      <c r="AL42" s="1236"/>
      <c r="AM42" s="1236"/>
      <c r="AN42" s="1236"/>
      <c r="AO42" s="1236"/>
    </row>
    <row r="43" spans="1:41" ht="14.25">
      <c r="A43" s="2091" t="s">
        <v>1725</v>
      </c>
      <c r="B43" s="29"/>
      <c r="C43" s="1236"/>
      <c r="D43" s="2123" t="s">
        <v>1726</v>
      </c>
      <c r="E43" s="29"/>
      <c r="F43" s="1848">
        <v>24</v>
      </c>
      <c r="G43" s="2076"/>
      <c r="H43" s="2076"/>
      <c r="I43" s="1855"/>
      <c r="J43" s="1855"/>
      <c r="K43" s="1855"/>
      <c r="L43" s="1855"/>
      <c r="M43" s="1855"/>
      <c r="N43" s="1855"/>
      <c r="AE43" s="1236"/>
      <c r="AF43" s="1236"/>
      <c r="AG43" s="1236"/>
      <c r="AH43" s="1236"/>
      <c r="AI43" s="1236"/>
      <c r="AJ43" s="1236"/>
      <c r="AK43" s="1236"/>
      <c r="AL43" s="1236"/>
      <c r="AM43" s="1236"/>
      <c r="AN43" s="1236"/>
      <c r="AO43" s="1236"/>
    </row>
    <row r="44" spans="1:41" ht="14.25">
      <c r="A44" s="2091" t="s">
        <v>1727</v>
      </c>
      <c r="B44" s="1000">
        <v>1.4999999999999999E-2</v>
      </c>
      <c r="C44" s="1236" t="s">
        <v>970</v>
      </c>
      <c r="D44" s="2123" t="s">
        <v>1728</v>
      </c>
      <c r="E44" s="29"/>
      <c r="F44" s="1848">
        <v>18</v>
      </c>
      <c r="G44" s="1236"/>
      <c r="H44" s="1236"/>
      <c r="I44" s="2076"/>
      <c r="J44" s="1855"/>
      <c r="K44" s="1855"/>
      <c r="L44" s="1855"/>
      <c r="M44" s="1855"/>
      <c r="N44" s="1855"/>
      <c r="AE44" s="1236"/>
      <c r="AF44" s="1236"/>
      <c r="AG44" s="1236"/>
      <c r="AH44" s="1236"/>
      <c r="AI44" s="1236"/>
      <c r="AJ44" s="1236"/>
      <c r="AK44" s="1236"/>
      <c r="AL44" s="1236"/>
      <c r="AM44" s="1236"/>
      <c r="AN44" s="1236"/>
      <c r="AO44" s="1236"/>
    </row>
    <row r="45" spans="1:41" ht="14.25">
      <c r="A45" s="2091" t="s">
        <v>1729</v>
      </c>
      <c r="B45" s="1001">
        <v>1.5E-3</v>
      </c>
      <c r="C45" s="1236" t="s">
        <v>971</v>
      </c>
      <c r="D45" s="2123" t="s">
        <v>1730</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3" t="s">
        <v>1732</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3" t="s">
        <v>1733</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3" t="s">
        <v>1734</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3" t="s">
        <v>1735</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4" t="s">
        <v>1736</v>
      </c>
      <c r="E51" s="49"/>
      <c r="F51" s="1855"/>
      <c r="M51" s="1855"/>
      <c r="N51" s="1855"/>
      <c r="O51" s="84"/>
      <c r="P51" s="84"/>
    </row>
    <row r="52" spans="1:41" s="1236" customFormat="1" ht="14.25">
      <c r="D52" s="2076"/>
      <c r="E52" s="2076"/>
      <c r="F52" s="2076"/>
      <c r="G52" s="2076"/>
      <c r="H52" s="2076"/>
      <c r="I52" s="1855"/>
      <c r="J52" s="1855"/>
      <c r="K52" s="1855"/>
      <c r="L52" s="1855"/>
      <c r="M52" s="1855"/>
      <c r="N52" s="1855"/>
      <c r="O52" s="84"/>
      <c r="P52" s="84"/>
    </row>
    <row r="53" spans="1:41" s="1236" customFormat="1" ht="14.25">
      <c r="D53" s="2076"/>
      <c r="E53" s="2076"/>
      <c r="F53" s="2076"/>
      <c r="G53" s="2076"/>
      <c r="H53" s="2076"/>
      <c r="I53" s="1855"/>
      <c r="J53" s="1855"/>
      <c r="K53" s="1855"/>
      <c r="L53" s="1855"/>
      <c r="M53" s="1855"/>
      <c r="N53" s="1855"/>
      <c r="O53" s="84"/>
      <c r="P53" s="84"/>
    </row>
    <row r="54" spans="1:41" s="1236" customFormat="1" ht="14.25">
      <c r="D54" s="2076"/>
      <c r="E54" s="2076"/>
      <c r="F54" s="2076"/>
      <c r="G54" s="2076"/>
      <c r="H54" s="2076"/>
      <c r="I54" s="1855"/>
      <c r="J54" s="1855"/>
      <c r="K54" s="1855"/>
      <c r="L54" s="1855"/>
      <c r="M54" s="1855"/>
      <c r="N54" s="1855"/>
      <c r="O54" s="84"/>
      <c r="P54" s="84"/>
    </row>
    <row r="55" spans="1:41" s="1236" customFormat="1" ht="14.25">
      <c r="D55" s="2076"/>
      <c r="E55" s="2076"/>
      <c r="F55" s="2076"/>
      <c r="G55" s="2076"/>
      <c r="H55" s="2076"/>
      <c r="I55" s="1855"/>
      <c r="J55" s="1855"/>
      <c r="K55" s="1855"/>
      <c r="L55" s="1855"/>
      <c r="M55" s="1855"/>
      <c r="N55" s="1855"/>
      <c r="O55" s="84"/>
      <c r="P55" s="84"/>
    </row>
    <row r="56" spans="1:41" s="1236" customFormat="1" ht="14.25">
      <c r="D56" s="2076"/>
      <c r="E56" s="2076"/>
      <c r="F56" s="2076"/>
      <c r="G56" s="2076"/>
      <c r="H56" s="2076"/>
      <c r="I56" s="1855"/>
      <c r="J56" s="1855"/>
      <c r="K56" s="1855"/>
      <c r="L56" s="1855"/>
      <c r="M56" s="1855"/>
      <c r="N56" s="1855"/>
      <c r="O56" s="84"/>
      <c r="P56" s="84"/>
    </row>
    <row r="57" spans="1:41" s="1236" customFormat="1" ht="14.25">
      <c r="D57" s="2076"/>
      <c r="E57" s="2076"/>
      <c r="F57" s="2076"/>
      <c r="G57" s="2076"/>
      <c r="H57" s="2076"/>
      <c r="I57" s="1855"/>
      <c r="J57" s="1855"/>
      <c r="K57" s="1855"/>
      <c r="L57" s="1855"/>
      <c r="M57" s="1855"/>
      <c r="N57" s="1855"/>
      <c r="O57" s="84"/>
      <c r="P57" s="84"/>
    </row>
    <row r="58" spans="1:41" s="1236" customFormat="1" ht="14.25">
      <c r="D58" s="2076"/>
      <c r="E58" s="2076"/>
      <c r="F58" s="2076"/>
      <c r="G58" s="2076"/>
      <c r="H58" s="2076"/>
      <c r="I58" s="1855"/>
      <c r="J58" s="1855"/>
      <c r="K58" s="1855"/>
      <c r="L58" s="1855"/>
      <c r="M58" s="1855"/>
      <c r="N58" s="1855"/>
      <c r="O58" s="84"/>
      <c r="P58" s="84"/>
    </row>
    <row r="59" spans="1:41" s="1236" customFormat="1" ht="14.25">
      <c r="D59" s="2076"/>
      <c r="E59" s="2076"/>
      <c r="F59" s="2076"/>
      <c r="G59" s="2076"/>
      <c r="H59" s="2076"/>
      <c r="I59" s="1855"/>
      <c r="J59" s="1855"/>
      <c r="K59" s="1855"/>
      <c r="L59" s="1855"/>
      <c r="M59" s="2125"/>
      <c r="N59" s="1855"/>
      <c r="O59" s="84"/>
      <c r="P59" s="84"/>
    </row>
    <row r="60" spans="1:41" s="1236" customFormat="1" ht="14.25">
      <c r="D60" s="2076"/>
      <c r="E60" s="2076"/>
      <c r="F60" s="2076"/>
      <c r="G60" s="2076"/>
      <c r="H60" s="2076"/>
      <c r="I60" s="1855"/>
      <c r="J60" s="1855"/>
      <c r="K60" s="1855"/>
      <c r="L60" s="1855"/>
      <c r="M60" s="1855"/>
      <c r="N60" s="1855"/>
      <c r="O60" s="84"/>
      <c r="P60" s="84"/>
    </row>
    <row r="61" spans="1:41" s="1236" customFormat="1" ht="14.25">
      <c r="D61" s="2076"/>
      <c r="E61" s="2076"/>
      <c r="F61" s="2076"/>
      <c r="G61" s="2076"/>
      <c r="H61" s="2076"/>
      <c r="I61" s="1855"/>
      <c r="J61" s="1855"/>
      <c r="K61" s="1855"/>
      <c r="L61" s="1855"/>
      <c r="M61" s="1855"/>
      <c r="N61" s="1855"/>
      <c r="O61" s="84"/>
      <c r="P61" s="84"/>
    </row>
    <row r="62" spans="1:41" s="1236" customFormat="1" ht="14.25">
      <c r="D62" s="2076"/>
      <c r="E62" s="2076"/>
      <c r="F62" s="2076"/>
      <c r="G62" s="2076"/>
      <c r="H62" s="2076"/>
      <c r="I62" s="1855"/>
      <c r="J62" s="1855"/>
      <c r="K62" s="1855"/>
      <c r="L62" s="1855"/>
      <c r="M62" s="1855"/>
      <c r="N62" s="1855"/>
      <c r="O62" s="84"/>
      <c r="P62" s="84"/>
    </row>
    <row r="63" spans="1:41" s="1236" customFormat="1" ht="14.25">
      <c r="D63" s="2076"/>
      <c r="E63" s="2076"/>
      <c r="F63" s="2076"/>
      <c r="G63" s="2076"/>
      <c r="H63" s="2076"/>
      <c r="I63" s="1855"/>
      <c r="J63" s="1855"/>
      <c r="K63" s="1855"/>
      <c r="L63" s="1855"/>
      <c r="M63" s="1855"/>
      <c r="N63" s="1855"/>
      <c r="O63" s="84"/>
      <c r="P63" s="84"/>
    </row>
    <row r="64" spans="1:41" s="1236" customFormat="1" ht="14.25">
      <c r="D64" s="2076"/>
      <c r="E64" s="2076"/>
      <c r="F64" s="2076"/>
      <c r="G64" s="2076"/>
      <c r="H64" s="2076"/>
      <c r="I64" s="1855"/>
      <c r="J64" s="1855"/>
      <c r="K64" s="1855"/>
      <c r="L64" s="1855"/>
      <c r="M64" s="1855"/>
      <c r="N64" s="1855"/>
      <c r="O64" s="84"/>
      <c r="P64" s="84"/>
    </row>
    <row r="65" spans="1:16" s="1236" customFormat="1" ht="14.25">
      <c r="D65" s="2076"/>
      <c r="E65" s="2076"/>
      <c r="F65" s="2076"/>
      <c r="G65" s="2076"/>
      <c r="H65" s="2076"/>
      <c r="I65" s="1855"/>
      <c r="J65" s="1855"/>
      <c r="K65" s="1855"/>
      <c r="L65" s="1855"/>
      <c r="M65" s="1855"/>
      <c r="N65" s="1855"/>
      <c r="O65" s="84"/>
      <c r="P65" s="84"/>
    </row>
    <row r="66" spans="1:16" s="1236" customFormat="1" ht="14.25">
      <c r="A66" s="2126"/>
      <c r="D66" s="2076"/>
      <c r="E66" s="2076"/>
      <c r="F66" s="2076"/>
      <c r="G66" s="2076"/>
      <c r="H66" s="2076"/>
      <c r="I66" s="1855"/>
      <c r="J66" s="1855"/>
      <c r="K66" s="1855"/>
      <c r="L66" s="1855"/>
      <c r="M66" s="1855"/>
      <c r="N66" s="1855"/>
      <c r="O66" s="84"/>
      <c r="P66" s="84"/>
    </row>
    <row r="67" spans="1:16" s="1236" customFormat="1" ht="14.25">
      <c r="A67" s="2126"/>
      <c r="D67" s="2076"/>
      <c r="E67" s="2076"/>
      <c r="F67" s="2076"/>
      <c r="G67" s="2076"/>
      <c r="H67" s="2076"/>
      <c r="I67" s="1855"/>
      <c r="J67" s="1855"/>
      <c r="K67" s="1855"/>
      <c r="L67" s="1855"/>
      <c r="M67" s="1855"/>
      <c r="N67" s="1855"/>
      <c r="O67" s="84"/>
      <c r="P67" s="84"/>
    </row>
    <row r="68" spans="1:16" s="1236" customFormat="1" ht="14.25">
      <c r="A68" s="2126"/>
      <c r="D68" s="2076"/>
      <c r="E68" s="2076"/>
      <c r="F68" s="2076"/>
      <c r="G68" s="1853"/>
      <c r="H68" s="1853"/>
      <c r="O68" s="84"/>
      <c r="P68" s="84"/>
    </row>
    <row r="69" spans="1:16" s="1236" customFormat="1">
      <c r="A69" s="2126"/>
      <c r="D69" s="1853"/>
      <c r="E69" s="1853"/>
      <c r="F69" s="1853"/>
      <c r="G69" s="1853"/>
      <c r="H69" s="1853"/>
      <c r="O69" s="84"/>
      <c r="P69" s="84"/>
    </row>
    <row r="70" spans="1:16" s="1236" customFormat="1">
      <c r="A70" s="2126"/>
      <c r="D70" s="1853"/>
      <c r="E70" s="1853"/>
      <c r="F70" s="1853"/>
      <c r="G70" s="1853"/>
      <c r="H70" s="1853"/>
      <c r="O70" s="84"/>
      <c r="P70" s="84"/>
    </row>
    <row r="71" spans="1:16" s="1236" customFormat="1">
      <c r="A71" s="2126"/>
      <c r="D71" s="1853"/>
      <c r="E71" s="1853"/>
      <c r="F71" s="1853"/>
      <c r="G71" s="1853"/>
      <c r="H71" s="1853"/>
      <c r="O71" s="84"/>
      <c r="P71" s="84"/>
    </row>
    <row r="72" spans="1:16" s="1236" customFormat="1">
      <c r="A72" s="2126"/>
      <c r="D72" s="1853"/>
      <c r="E72" s="1853"/>
      <c r="F72" s="1853"/>
      <c r="G72" s="1853"/>
      <c r="H72" s="1853"/>
      <c r="O72" s="84"/>
      <c r="P72" s="84"/>
    </row>
    <row r="73" spans="1:16" s="1236" customFormat="1">
      <c r="A73" s="2126"/>
      <c r="D73" s="1853"/>
      <c r="E73" s="1853"/>
      <c r="F73" s="1853"/>
      <c r="G73" s="1853"/>
      <c r="H73" s="1853"/>
      <c r="O73" s="84"/>
      <c r="P73" s="84"/>
    </row>
    <row r="74" spans="1:16" s="1236" customFormat="1">
      <c r="A74" s="2126"/>
      <c r="D74" s="1853"/>
      <c r="E74" s="1853"/>
      <c r="F74" s="1853"/>
      <c r="G74" s="1853"/>
      <c r="H74" s="1853"/>
      <c r="O74" s="84"/>
      <c r="P74" s="84"/>
    </row>
    <row r="75" spans="1:16" s="1236" customFormat="1">
      <c r="A75" s="2126"/>
      <c r="D75" s="1853"/>
      <c r="E75" s="1853"/>
      <c r="F75" s="1853"/>
      <c r="G75" s="1853"/>
      <c r="H75" s="1853"/>
      <c r="O75" s="84"/>
      <c r="P75" s="84"/>
    </row>
    <row r="76" spans="1:16" s="1236" customFormat="1">
      <c r="A76" s="2126"/>
      <c r="D76" s="1853"/>
      <c r="E76" s="1853"/>
      <c r="F76" s="1853"/>
      <c r="G76" s="1853"/>
      <c r="H76" s="1853"/>
      <c r="O76" s="84"/>
      <c r="P76" s="84"/>
    </row>
    <row r="77" spans="1:16" s="1236" customFormat="1">
      <c r="A77" s="2126"/>
      <c r="D77" s="1853"/>
      <c r="E77" s="1853"/>
      <c r="F77" s="1853"/>
      <c r="G77" s="1853"/>
      <c r="H77" s="1853"/>
      <c r="O77" s="84"/>
      <c r="P77" s="84"/>
    </row>
    <row r="78" spans="1:16" s="1236" customFormat="1">
      <c r="A78" s="2126"/>
      <c r="D78" s="1853"/>
      <c r="E78" s="1853"/>
      <c r="F78" s="1853"/>
      <c r="G78" s="1853"/>
      <c r="H78" s="1853"/>
      <c r="O78" s="84"/>
      <c r="P78" s="84"/>
    </row>
    <row r="79" spans="1:16" s="1236" customFormat="1">
      <c r="A79" s="2126"/>
      <c r="D79" s="1853"/>
      <c r="E79" s="1853"/>
      <c r="F79" s="1853"/>
      <c r="G79" s="1853"/>
      <c r="H79" s="1853"/>
      <c r="O79" s="84"/>
      <c r="P79" s="84"/>
    </row>
    <row r="80" spans="1:16" s="1236" customFormat="1">
      <c r="A80" s="2126"/>
      <c r="D80" s="1853"/>
      <c r="E80" s="1853"/>
      <c r="F80" s="1853"/>
      <c r="G80" s="1853"/>
      <c r="H80" s="1853"/>
      <c r="O80" s="84"/>
      <c r="P80" s="84"/>
    </row>
    <row r="81" spans="1:16" s="1236" customFormat="1">
      <c r="A81" s="2126"/>
      <c r="D81" s="1853"/>
      <c r="E81" s="1853"/>
      <c r="F81" s="1853"/>
      <c r="G81" s="1853"/>
      <c r="H81" s="1853"/>
      <c r="O81" s="84"/>
      <c r="P81" s="84"/>
    </row>
    <row r="82" spans="1:16" s="1236" customFormat="1">
      <c r="A82" s="2126"/>
      <c r="D82" s="1853"/>
      <c r="E82" s="1853"/>
      <c r="F82" s="1853"/>
      <c r="G82" s="1853"/>
      <c r="H82" s="1853"/>
      <c r="O82" s="84"/>
      <c r="P82" s="84"/>
    </row>
    <row r="83" spans="1:16" s="1236" customFormat="1">
      <c r="A83" s="2126"/>
      <c r="D83" s="1853"/>
      <c r="E83" s="1853"/>
      <c r="F83" s="1853"/>
      <c r="G83" s="1853"/>
      <c r="H83" s="1853"/>
      <c r="O83" s="84"/>
      <c r="P83" s="84"/>
    </row>
    <row r="84" spans="1:16" s="1236" customFormat="1">
      <c r="A84" s="2126"/>
      <c r="D84" s="1853"/>
      <c r="E84" s="1853"/>
      <c r="F84" s="1853"/>
      <c r="G84" s="1853"/>
      <c r="H84" s="1853"/>
      <c r="O84" s="84"/>
      <c r="P84" s="84"/>
    </row>
    <row r="85" spans="1:16" s="1236" customFormat="1">
      <c r="A85" s="2126"/>
      <c r="D85" s="1853"/>
      <c r="E85" s="1853"/>
      <c r="F85" s="1853"/>
      <c r="G85" s="1853"/>
      <c r="H85" s="1853"/>
      <c r="O85" s="84"/>
      <c r="P85" s="84"/>
    </row>
    <row r="86" spans="1:16" s="1236" customFormat="1">
      <c r="A86" s="2126"/>
      <c r="D86" s="1853"/>
      <c r="E86" s="1853"/>
      <c r="F86" s="1853"/>
      <c r="G86" s="1853"/>
      <c r="H86" s="1853"/>
      <c r="O86" s="84"/>
      <c r="P86" s="84"/>
    </row>
    <row r="87" spans="1:16" s="1236" customFormat="1">
      <c r="A87" s="2126"/>
      <c r="D87" s="1853"/>
      <c r="E87" s="1853"/>
      <c r="F87" s="1853"/>
      <c r="G87" s="1853"/>
      <c r="H87" s="1853"/>
      <c r="O87" s="84"/>
      <c r="P87" s="84"/>
    </row>
    <row r="88" spans="1:16" s="1236" customFormat="1">
      <c r="A88" s="2126"/>
      <c r="D88" s="1853"/>
      <c r="E88" s="1853"/>
      <c r="F88" s="1853"/>
      <c r="G88" s="1853"/>
      <c r="H88" s="1853"/>
      <c r="O88" s="84"/>
      <c r="P88" s="84"/>
    </row>
    <row r="89" spans="1:16" s="1236" customFormat="1">
      <c r="A89" s="2126"/>
      <c r="D89" s="1853"/>
      <c r="E89" s="1853"/>
      <c r="F89" s="1853"/>
      <c r="G89" s="1853"/>
      <c r="H89" s="1853"/>
      <c r="O89" s="84"/>
      <c r="P89" s="84"/>
    </row>
    <row r="90" spans="1:16" s="1236" customFormat="1">
      <c r="A90" s="2126"/>
      <c r="D90" s="1853"/>
      <c r="E90" s="1853"/>
      <c r="F90" s="1853"/>
      <c r="G90" s="1853"/>
      <c r="H90" s="1853"/>
      <c r="O90" s="84"/>
      <c r="P90" s="84"/>
    </row>
    <row r="91" spans="1:16" s="1236" customFormat="1">
      <c r="A91" s="2126"/>
      <c r="D91" s="1853"/>
      <c r="E91" s="1853"/>
      <c r="F91" s="1853"/>
      <c r="G91" s="1853"/>
      <c r="H91" s="1853"/>
      <c r="O91" s="84"/>
      <c r="P91" s="84"/>
    </row>
    <row r="92" spans="1:16" s="1236" customFormat="1">
      <c r="A92" s="2126"/>
      <c r="D92" s="1853"/>
      <c r="E92" s="1853"/>
      <c r="F92" s="1853"/>
      <c r="G92" s="1853"/>
      <c r="H92" s="1853"/>
      <c r="O92" s="84"/>
      <c r="P92" s="84"/>
    </row>
    <row r="93" spans="1:16" s="1236" customFormat="1">
      <c r="A93" s="2126"/>
      <c r="D93" s="1853"/>
      <c r="E93" s="1853"/>
      <c r="F93" s="1853"/>
      <c r="G93" s="1853"/>
      <c r="H93" s="1853"/>
      <c r="O93" s="84"/>
      <c r="P93" s="84"/>
    </row>
    <row r="94" spans="1:16" s="1236" customFormat="1">
      <c r="A94" s="2126"/>
      <c r="D94" s="1853"/>
      <c r="E94" s="1853"/>
      <c r="F94" s="1853"/>
      <c r="G94" s="1853"/>
      <c r="H94" s="1853"/>
      <c r="O94" s="84"/>
      <c r="P94" s="84"/>
    </row>
    <row r="95" spans="1:16" s="1236" customFormat="1">
      <c r="A95" s="2126"/>
      <c r="D95" s="1853"/>
      <c r="E95" s="1853"/>
      <c r="F95" s="1853"/>
      <c r="G95" s="1853"/>
      <c r="H95" s="1853"/>
      <c r="O95" s="84"/>
      <c r="P95" s="84"/>
    </row>
    <row r="96" spans="1:16" s="1236" customFormat="1">
      <c r="A96" s="2126"/>
      <c r="D96" s="1853"/>
      <c r="E96" s="1853"/>
      <c r="F96" s="1853"/>
      <c r="G96" s="1853"/>
      <c r="H96" s="1853"/>
      <c r="O96" s="84"/>
      <c r="P96" s="84"/>
    </row>
    <row r="97" spans="1:16" s="1236" customFormat="1">
      <c r="A97" s="2126"/>
      <c r="D97" s="1853"/>
      <c r="E97" s="1853"/>
      <c r="F97" s="1853"/>
      <c r="G97" s="1853"/>
      <c r="H97" s="1853"/>
      <c r="O97" s="84"/>
      <c r="P97" s="84"/>
    </row>
    <row r="98" spans="1:16" s="1236" customFormat="1">
      <c r="A98" s="2126"/>
      <c r="D98" s="1853"/>
      <c r="E98" s="1853"/>
      <c r="F98" s="1853"/>
      <c r="G98" s="1853"/>
      <c r="H98" s="1853"/>
      <c r="O98" s="84"/>
      <c r="P98" s="84"/>
    </row>
    <row r="99" spans="1:16" s="1236" customFormat="1">
      <c r="A99" s="2126"/>
      <c r="D99" s="1853"/>
      <c r="E99" s="1853"/>
      <c r="F99" s="1853"/>
      <c r="G99" s="1853"/>
      <c r="H99" s="1853"/>
      <c r="O99" s="84"/>
      <c r="P99" s="84"/>
    </row>
    <row r="100" spans="1:16" s="1236" customFormat="1">
      <c r="A100" s="2126"/>
      <c r="D100" s="1853"/>
      <c r="E100" s="1853"/>
      <c r="F100" s="1853"/>
      <c r="G100" s="1853"/>
      <c r="H100" s="1853"/>
      <c r="O100" s="84"/>
      <c r="P100" s="84"/>
    </row>
    <row r="101" spans="1:16" s="1236" customFormat="1">
      <c r="A101" s="2126"/>
      <c r="D101" s="1853"/>
      <c r="E101" s="1853"/>
      <c r="F101" s="1853"/>
      <c r="G101" s="1853"/>
      <c r="H101" s="1853"/>
      <c r="O101" s="84"/>
      <c r="P101" s="84"/>
    </row>
    <row r="102" spans="1:16" s="1236" customFormat="1">
      <c r="A102" s="2126"/>
      <c r="D102" s="1853"/>
      <c r="E102" s="1853"/>
      <c r="F102" s="1853"/>
      <c r="G102" s="1853"/>
      <c r="H102" s="1853"/>
      <c r="O102" s="84"/>
      <c r="P102" s="84"/>
    </row>
    <row r="103" spans="1:16" s="1236" customFormat="1">
      <c r="A103" s="2126"/>
      <c r="D103" s="1853"/>
      <c r="E103" s="1853"/>
      <c r="F103" s="1853"/>
      <c r="G103" s="1853"/>
      <c r="H103" s="1853"/>
      <c r="O103" s="84"/>
      <c r="P103" s="84"/>
    </row>
    <row r="104" spans="1:16" s="1236" customFormat="1">
      <c r="A104" s="2126"/>
      <c r="D104" s="1853"/>
      <c r="E104" s="1853"/>
      <c r="F104" s="1853"/>
      <c r="G104" s="1853"/>
      <c r="H104" s="1853"/>
      <c r="O104" s="84"/>
      <c r="P104" s="84"/>
    </row>
    <row r="105" spans="1:16" s="1236" customFormat="1">
      <c r="A105" s="2126"/>
      <c r="D105" s="1853"/>
      <c r="E105" s="1853"/>
      <c r="F105" s="1853"/>
      <c r="G105" s="1853"/>
      <c r="H105" s="1853"/>
      <c r="O105" s="84"/>
      <c r="P105" s="84"/>
    </row>
    <row r="106" spans="1:16" s="1236" customFormat="1">
      <c r="A106" s="2126"/>
      <c r="D106" s="1853"/>
      <c r="E106" s="1853"/>
      <c r="F106" s="1853"/>
      <c r="G106" s="1853"/>
      <c r="H106" s="1853"/>
      <c r="O106" s="84"/>
      <c r="P106" s="84"/>
    </row>
    <row r="107" spans="1:16" s="1236" customFormat="1">
      <c r="A107" s="2126"/>
      <c r="D107" s="1853"/>
      <c r="E107" s="1853"/>
      <c r="F107" s="1853"/>
      <c r="G107" s="1853"/>
      <c r="H107" s="1853"/>
      <c r="O107" s="84"/>
      <c r="P107" s="84"/>
    </row>
    <row r="108" spans="1:16" s="1236" customFormat="1">
      <c r="A108" s="2126"/>
      <c r="D108" s="1853"/>
      <c r="E108" s="1853"/>
      <c r="F108" s="1853"/>
      <c r="G108" s="1853"/>
      <c r="H108" s="1853"/>
      <c r="O108" s="84"/>
      <c r="P108" s="84"/>
    </row>
    <row r="109" spans="1:16" s="1236" customFormat="1">
      <c r="A109" s="2126"/>
      <c r="D109" s="1853"/>
      <c r="E109" s="1853"/>
      <c r="F109" s="1853"/>
      <c r="G109" s="1853"/>
      <c r="H109" s="1853"/>
      <c r="O109" s="84"/>
      <c r="P109" s="84"/>
    </row>
    <row r="110" spans="1:16" s="1236" customFormat="1">
      <c r="A110" s="2126"/>
      <c r="D110" s="1853"/>
      <c r="E110" s="1853"/>
      <c r="F110" s="1853"/>
      <c r="G110" s="1853"/>
      <c r="H110" s="1853"/>
      <c r="O110" s="84"/>
      <c r="P110" s="84"/>
    </row>
    <row r="111" spans="1:16" s="1236" customFormat="1">
      <c r="A111" s="2126"/>
      <c r="D111" s="1853"/>
      <c r="E111" s="1853"/>
      <c r="F111" s="1853"/>
      <c r="G111" s="1853"/>
      <c r="H111" s="1853"/>
      <c r="O111" s="84"/>
      <c r="P111" s="84"/>
    </row>
    <row r="112" spans="1:16" s="1236" customFormat="1">
      <c r="A112" s="2126"/>
      <c r="D112" s="1853"/>
      <c r="E112" s="1853"/>
      <c r="F112" s="1853"/>
      <c r="G112" s="1853"/>
      <c r="H112" s="1853"/>
      <c r="O112" s="84"/>
      <c r="P112" s="84"/>
    </row>
    <row r="113" spans="1:16" s="1236" customFormat="1">
      <c r="A113" s="2126"/>
      <c r="D113" s="1853"/>
      <c r="E113" s="1853"/>
      <c r="F113" s="1853"/>
      <c r="G113" s="1853"/>
      <c r="H113" s="1853"/>
      <c r="O113" s="84"/>
      <c r="P113" s="84"/>
    </row>
    <row r="114" spans="1:16" s="1236" customFormat="1">
      <c r="A114" s="2126"/>
      <c r="D114" s="1853"/>
      <c r="E114" s="1853"/>
      <c r="F114" s="1853"/>
      <c r="G114" s="1853"/>
      <c r="H114" s="1853"/>
      <c r="O114" s="84"/>
      <c r="P114" s="84"/>
    </row>
    <row r="115" spans="1:16" s="1236" customFormat="1">
      <c r="A115" s="2126"/>
      <c r="D115" s="1853"/>
      <c r="E115" s="1853"/>
      <c r="F115" s="1853"/>
      <c r="G115" s="1853"/>
      <c r="H115" s="1853"/>
      <c r="O115" s="84"/>
      <c r="P115" s="84"/>
    </row>
    <row r="116" spans="1:16" s="1236" customFormat="1">
      <c r="A116" s="2126"/>
      <c r="D116" s="1853"/>
      <c r="E116" s="1853"/>
      <c r="F116" s="1853"/>
      <c r="G116" s="1853"/>
      <c r="H116" s="1853"/>
      <c r="O116" s="84"/>
      <c r="P116" s="84"/>
    </row>
    <row r="117" spans="1:16" s="1236" customFormat="1">
      <c r="A117" s="2126"/>
      <c r="D117" s="1853"/>
      <c r="E117" s="1853"/>
      <c r="F117" s="1853"/>
      <c r="G117" s="1853"/>
      <c r="H117" s="1853"/>
      <c r="O117" s="84"/>
      <c r="P117" s="84"/>
    </row>
    <row r="118" spans="1:16" s="1236" customFormat="1">
      <c r="A118" s="2126"/>
      <c r="D118" s="1853"/>
      <c r="E118" s="1853"/>
      <c r="F118" s="1853"/>
      <c r="G118" s="1853"/>
      <c r="H118" s="1853"/>
      <c r="O118" s="84"/>
      <c r="P118" s="84"/>
    </row>
    <row r="119" spans="1:16" s="1236" customFormat="1">
      <c r="A119" s="2126"/>
      <c r="D119" s="1853"/>
      <c r="E119" s="1853"/>
      <c r="F119" s="1853"/>
      <c r="G119" s="1853"/>
      <c r="H119" s="1853"/>
      <c r="O119" s="84"/>
      <c r="P119" s="84"/>
    </row>
    <row r="120" spans="1:16" s="1236" customFormat="1">
      <c r="A120" s="2126"/>
      <c r="D120" s="1853"/>
      <c r="E120" s="1853"/>
      <c r="F120" s="1853"/>
      <c r="G120" s="1853"/>
      <c r="H120" s="1853"/>
      <c r="O120" s="84"/>
      <c r="P120" s="84"/>
    </row>
    <row r="121" spans="1:16" s="1236" customFormat="1">
      <c r="A121" s="2126"/>
      <c r="D121" s="1853"/>
      <c r="E121" s="1853"/>
      <c r="F121" s="1853"/>
      <c r="G121" s="1853"/>
      <c r="H121" s="1853"/>
      <c r="O121" s="84"/>
      <c r="P121" s="84"/>
    </row>
    <row r="122" spans="1:16" s="1236" customFormat="1">
      <c r="A122" s="2126"/>
      <c r="D122" s="1853"/>
      <c r="E122" s="1853"/>
      <c r="F122" s="1853"/>
      <c r="G122" s="1853"/>
      <c r="H122" s="1853"/>
      <c r="O122" s="84"/>
      <c r="P122" s="84"/>
    </row>
    <row r="123" spans="1:16" s="1236" customFormat="1">
      <c r="A123" s="2126"/>
      <c r="D123" s="1853"/>
      <c r="E123" s="1853"/>
      <c r="F123" s="1853"/>
      <c r="G123" s="1853"/>
      <c r="H123" s="1853"/>
      <c r="O123" s="84"/>
      <c r="P123" s="84"/>
    </row>
    <row r="124" spans="1:16" s="1236" customFormat="1">
      <c r="A124" s="2126"/>
      <c r="D124" s="1853"/>
      <c r="E124" s="1853"/>
      <c r="F124" s="1853"/>
      <c r="G124" s="1853"/>
      <c r="H124" s="1853"/>
      <c r="O124" s="84"/>
      <c r="P124" s="84"/>
    </row>
    <row r="125" spans="1:16" s="1236" customFormat="1">
      <c r="A125" s="2126"/>
      <c r="D125" s="1853"/>
      <c r="E125" s="1853"/>
      <c r="F125" s="1853"/>
      <c r="G125" s="1853"/>
      <c r="H125" s="1853"/>
      <c r="O125" s="84"/>
      <c r="P125" s="84"/>
    </row>
    <row r="126" spans="1:16" s="1236" customFormat="1">
      <c r="A126" s="2126"/>
      <c r="D126" s="1853"/>
      <c r="E126" s="1853"/>
      <c r="F126" s="1853"/>
      <c r="G126" s="1853"/>
      <c r="H126" s="1853"/>
      <c r="O126" s="84"/>
      <c r="P126" s="84"/>
    </row>
    <row r="127" spans="1:16" s="1236" customFormat="1">
      <c r="A127" s="2126"/>
      <c r="D127" s="1853"/>
      <c r="E127" s="1853"/>
      <c r="F127" s="1853"/>
      <c r="G127" s="1853"/>
      <c r="H127" s="1853"/>
      <c r="O127" s="84"/>
      <c r="P127" s="84"/>
    </row>
    <row r="128" spans="1:16" s="1236" customFormat="1">
      <c r="A128" s="2126"/>
      <c r="D128" s="1853"/>
      <c r="E128" s="1853"/>
      <c r="F128" s="1853"/>
      <c r="G128" s="1853"/>
      <c r="H128" s="1853"/>
      <c r="O128" s="84"/>
      <c r="P128" s="84"/>
    </row>
    <row r="129" spans="1:16" s="1236" customFormat="1">
      <c r="A129" s="2126"/>
      <c r="D129" s="1853"/>
      <c r="E129" s="1853"/>
      <c r="F129" s="1853"/>
      <c r="G129" s="1853"/>
      <c r="H129" s="1853"/>
      <c r="O129" s="84"/>
      <c r="P129" s="84"/>
    </row>
    <row r="130" spans="1:16" s="1236" customFormat="1">
      <c r="A130" s="2126"/>
      <c r="D130" s="1853"/>
      <c r="E130" s="1853"/>
      <c r="F130" s="1853"/>
      <c r="G130" s="1853"/>
      <c r="H130" s="1853"/>
      <c r="O130" s="84"/>
      <c r="P130" s="84"/>
    </row>
    <row r="131" spans="1:16" s="1236" customFormat="1">
      <c r="A131" s="2126"/>
      <c r="D131" s="1853"/>
      <c r="E131" s="1853"/>
      <c r="F131" s="1853"/>
      <c r="G131" s="1853"/>
      <c r="H131" s="1853"/>
      <c r="O131" s="84"/>
      <c r="P131" s="84"/>
    </row>
    <row r="132" spans="1:16" s="1236" customFormat="1">
      <c r="A132" s="2126"/>
      <c r="D132" s="1853"/>
      <c r="E132" s="1853"/>
      <c r="F132" s="1853"/>
      <c r="G132" s="1853"/>
      <c r="H132" s="1853"/>
      <c r="O132" s="84"/>
      <c r="P132" s="84"/>
    </row>
    <row r="133" spans="1:16" s="1236" customFormat="1">
      <c r="A133" s="2126"/>
      <c r="D133" s="1853"/>
      <c r="E133" s="1853"/>
      <c r="F133" s="1853"/>
      <c r="G133" s="1853"/>
      <c r="H133" s="1853"/>
      <c r="O133" s="84"/>
      <c r="P133" s="84"/>
    </row>
    <row r="134" spans="1:16" s="1236" customFormat="1">
      <c r="A134" s="2126"/>
      <c r="D134" s="1853"/>
      <c r="E134" s="1853"/>
      <c r="F134" s="1853"/>
      <c r="G134" s="1853"/>
      <c r="H134" s="1853"/>
      <c r="O134" s="84"/>
      <c r="P134" s="84"/>
    </row>
    <row r="135" spans="1:16" s="1236" customFormat="1">
      <c r="A135" s="2126"/>
      <c r="D135" s="1853"/>
      <c r="E135" s="1853"/>
      <c r="F135" s="1853"/>
      <c r="G135" s="1853"/>
      <c r="H135" s="1853"/>
      <c r="O135" s="84"/>
      <c r="P135" s="84"/>
    </row>
    <row r="136" spans="1:16" s="1236" customFormat="1">
      <c r="A136" s="2126"/>
      <c r="D136" s="1853"/>
      <c r="E136" s="1853"/>
      <c r="F136" s="1853"/>
      <c r="G136" s="1853"/>
      <c r="H136" s="1853"/>
      <c r="O136" s="84"/>
      <c r="P136" s="84"/>
    </row>
    <row r="137" spans="1:16" s="1236" customFormat="1">
      <c r="A137" s="2126"/>
      <c r="D137" s="1853"/>
      <c r="E137" s="1853"/>
      <c r="F137" s="1853"/>
      <c r="G137" s="1853"/>
      <c r="H137" s="1853"/>
      <c r="O137" s="84"/>
      <c r="P137" s="84"/>
    </row>
    <row r="138" spans="1:16" s="1236" customFormat="1">
      <c r="A138" s="2126"/>
      <c r="D138" s="1853"/>
      <c r="E138" s="1853"/>
      <c r="F138" s="1853"/>
      <c r="G138" s="1853"/>
      <c r="H138" s="1853"/>
      <c r="O138" s="84"/>
      <c r="P138" s="84"/>
    </row>
    <row r="139" spans="1:16" s="1236" customFormat="1">
      <c r="A139" s="2126"/>
      <c r="D139" s="1853"/>
      <c r="E139" s="1853"/>
      <c r="F139" s="1853"/>
      <c r="G139" s="1853"/>
      <c r="H139" s="1853"/>
      <c r="O139" s="84"/>
      <c r="P139" s="84"/>
    </row>
    <row r="140" spans="1:16" s="1236" customFormat="1">
      <c r="A140" s="2126"/>
      <c r="D140" s="1853"/>
      <c r="E140" s="1853"/>
      <c r="F140" s="1853"/>
      <c r="G140" s="1853"/>
      <c r="H140" s="1853"/>
      <c r="O140" s="84"/>
      <c r="P140" s="84"/>
    </row>
    <row r="141" spans="1:16" s="1236" customFormat="1">
      <c r="A141" s="2126"/>
      <c r="D141" s="1853"/>
      <c r="E141" s="1853"/>
      <c r="F141" s="1853"/>
      <c r="G141" s="1853"/>
      <c r="H141" s="1853"/>
      <c r="O141" s="84"/>
      <c r="P141" s="84"/>
    </row>
    <row r="142" spans="1:16" s="1236" customFormat="1">
      <c r="A142" s="2126"/>
      <c r="D142" s="1853"/>
      <c r="E142" s="1853"/>
      <c r="F142" s="1853"/>
      <c r="G142" s="1853"/>
      <c r="H142" s="1853"/>
      <c r="O142" s="84"/>
      <c r="P142" s="84"/>
    </row>
    <row r="143" spans="1:16" s="1236" customFormat="1">
      <c r="A143" s="2126"/>
      <c r="D143" s="1853"/>
      <c r="E143" s="1853"/>
      <c r="F143" s="1853"/>
      <c r="G143" s="1853"/>
      <c r="H143" s="1853"/>
      <c r="O143" s="84"/>
      <c r="P143" s="84"/>
    </row>
    <row r="144" spans="1:16" s="1236" customFormat="1">
      <c r="A144" s="2126"/>
      <c r="D144" s="1853"/>
      <c r="E144" s="1853"/>
      <c r="F144" s="1853"/>
      <c r="G144" s="1853"/>
      <c r="H144" s="1853"/>
      <c r="O144" s="84"/>
      <c r="P144" s="84"/>
    </row>
    <row r="145" spans="1:16" s="1236" customFormat="1">
      <c r="A145" s="2126"/>
      <c r="D145" s="1853"/>
      <c r="E145" s="1853"/>
      <c r="F145" s="1853"/>
      <c r="G145" s="1853"/>
      <c r="H145" s="1853"/>
      <c r="O145" s="84"/>
      <c r="P145" s="84"/>
    </row>
    <row r="146" spans="1:16" s="1236" customFormat="1">
      <c r="A146" s="2126"/>
      <c r="D146" s="1853"/>
      <c r="E146" s="1853"/>
      <c r="F146" s="1853"/>
      <c r="G146" s="1853"/>
      <c r="H146" s="1853"/>
      <c r="O146" s="84"/>
      <c r="P146" s="84"/>
    </row>
    <row r="147" spans="1:16" s="1236" customFormat="1">
      <c r="A147" s="2126"/>
      <c r="D147" s="1853"/>
      <c r="E147" s="1853"/>
      <c r="F147" s="1853"/>
      <c r="G147" s="1853"/>
      <c r="H147" s="1853"/>
      <c r="O147" s="84"/>
      <c r="P147" s="84"/>
    </row>
    <row r="148" spans="1:16" s="1236" customFormat="1">
      <c r="A148" s="2126"/>
      <c r="D148" s="1853"/>
      <c r="E148" s="1853"/>
      <c r="F148" s="1853"/>
      <c r="G148" s="1853"/>
      <c r="H148" s="1853"/>
      <c r="O148" s="84"/>
      <c r="P148" s="84"/>
    </row>
    <row r="149" spans="1:16" s="1236" customFormat="1">
      <c r="A149" s="2126"/>
      <c r="D149" s="1853"/>
      <c r="E149" s="1853"/>
      <c r="F149" s="1853"/>
      <c r="G149" s="1853"/>
      <c r="H149" s="1853"/>
      <c r="O149" s="84"/>
      <c r="P149" s="84"/>
    </row>
    <row r="150" spans="1:16" s="1236" customFormat="1">
      <c r="A150" s="2126"/>
      <c r="D150" s="1853"/>
      <c r="E150" s="1853"/>
      <c r="F150" s="1853"/>
      <c r="G150" s="1853"/>
      <c r="H150" s="1853"/>
      <c r="O150" s="84"/>
      <c r="P150" s="84"/>
    </row>
    <row r="151" spans="1:16" s="1236" customFormat="1">
      <c r="A151" s="2126"/>
      <c r="D151" s="1853"/>
      <c r="E151" s="1853"/>
      <c r="F151" s="1853"/>
      <c r="G151" s="1853"/>
      <c r="H151" s="1853"/>
      <c r="O151" s="84"/>
      <c r="P151" s="84"/>
    </row>
    <row r="152" spans="1:16" s="1236" customFormat="1">
      <c r="A152" s="2126"/>
      <c r="D152" s="1853"/>
      <c r="E152" s="1853"/>
      <c r="F152" s="1853"/>
      <c r="G152" s="1853"/>
      <c r="H152" s="1853"/>
      <c r="O152" s="84"/>
      <c r="P152" s="84"/>
    </row>
    <row r="153" spans="1:16" s="1236" customFormat="1">
      <c r="A153" s="2127"/>
      <c r="B153" s="2073"/>
      <c r="D153" s="1853"/>
      <c r="E153" s="1853"/>
      <c r="F153" s="1853"/>
      <c r="G153" s="1853"/>
      <c r="H153" s="1853"/>
      <c r="O153" s="84"/>
      <c r="P153" s="84"/>
    </row>
    <row r="154" spans="1:16" s="1236"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4" t="s">
        <v>1737</v>
      </c>
      <c r="B1" s="2845"/>
      <c r="C1" s="2845"/>
      <c r="D1" s="2845"/>
      <c r="E1" s="2845"/>
      <c r="F1" s="2845"/>
      <c r="G1" s="284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738" t="s">
        <v>2848</v>
      </c>
      <c r="D3" s="2144"/>
      <c r="E3" s="411" t="s">
        <v>1740</v>
      </c>
      <c r="F3" s="2145" t="s">
        <v>1742</v>
      </c>
      <c r="G3" s="2146" t="s">
        <v>1743</v>
      </c>
      <c r="H3" s="2141"/>
      <c r="I3" s="2141"/>
      <c r="J3" s="2141"/>
      <c r="K3" s="2141"/>
      <c r="L3" s="2141"/>
      <c r="M3" s="2141"/>
      <c r="N3" s="2141"/>
      <c r="O3" s="2141"/>
      <c r="P3" s="2141"/>
      <c r="Q3" s="2141"/>
      <c r="R3" s="2141"/>
    </row>
    <row r="4" spans="1:29" ht="41.25">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739" t="s">
        <v>2849</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739" t="s">
        <v>2853</v>
      </c>
      <c r="D7" s="2151"/>
      <c r="E7" s="2152"/>
      <c r="F7" s="2153" t="s">
        <v>1755</v>
      </c>
      <c r="G7" s="2154" t="s">
        <v>1756</v>
      </c>
      <c r="H7" s="2141"/>
      <c r="I7" s="2141"/>
      <c r="J7" s="2141"/>
      <c r="K7" s="2141"/>
      <c r="L7" s="2141"/>
      <c r="M7" s="2141"/>
      <c r="N7" s="2141"/>
      <c r="O7" s="2141"/>
      <c r="P7" s="2141"/>
      <c r="Q7" s="2141"/>
      <c r="R7" s="2141"/>
    </row>
    <row r="8" spans="1:29" ht="15">
      <c r="A8" s="411"/>
      <c r="B8" s="1887" t="s">
        <v>1753</v>
      </c>
      <c r="C8" s="2739" t="s">
        <v>2852</v>
      </c>
      <c r="D8" s="2151"/>
      <c r="E8" s="2151"/>
      <c r="F8" s="1245"/>
      <c r="G8" s="1245"/>
      <c r="H8" s="2141"/>
      <c r="I8" s="2141"/>
      <c r="J8" s="2141"/>
      <c r="K8" s="2141"/>
      <c r="L8" s="2141"/>
      <c r="M8" s="2141"/>
      <c r="N8" s="2141"/>
      <c r="O8" s="2141"/>
      <c r="P8" s="2141"/>
      <c r="Q8" s="2141"/>
      <c r="R8" s="2141"/>
    </row>
    <row r="9" spans="1:29" ht="40.5">
      <c r="A9" s="411"/>
      <c r="B9" s="1887" t="s">
        <v>1757</v>
      </c>
      <c r="C9" s="2741" t="s">
        <v>2850</v>
      </c>
      <c r="D9" s="2144"/>
      <c r="E9" s="2151"/>
      <c r="F9" s="1245"/>
      <c r="G9" s="1245"/>
      <c r="H9" s="2141"/>
      <c r="I9" s="2141"/>
      <c r="J9" s="2141"/>
      <c r="K9" s="2141"/>
      <c r="L9" s="2141"/>
      <c r="M9" s="2141"/>
      <c r="N9" s="2141"/>
      <c r="O9" s="2141"/>
      <c r="P9" s="2141"/>
      <c r="Q9" s="2141"/>
      <c r="R9" s="2141"/>
    </row>
    <row r="10" spans="1:29" s="35" customFormat="1" ht="15.75" thickBot="1">
      <c r="A10" s="2155"/>
      <c r="B10" s="2156" t="s">
        <v>1758</v>
      </c>
      <c r="C10" s="2740" t="s">
        <v>2883</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1759</v>
      </c>
      <c r="B13" s="2161"/>
      <c r="C13" s="2161"/>
      <c r="D13" s="2138"/>
      <c r="E13" s="2161"/>
      <c r="F13" s="2161"/>
      <c r="G13" s="2161"/>
    </row>
    <row r="14" spans="1:29" ht="15.75" thickBot="1">
      <c r="A14" s="2171"/>
      <c r="B14" s="2172"/>
      <c r="C14" s="2173" t="s">
        <v>1760</v>
      </c>
      <c r="D14" s="2144"/>
      <c r="E14" s="2174"/>
      <c r="F14" s="2174"/>
      <c r="G14" s="2137" t="s">
        <v>1761</v>
      </c>
    </row>
    <row r="15" spans="1:29" ht="57">
      <c r="A15" s="25" t="s">
        <v>1762</v>
      </c>
      <c r="B15" s="2175" t="s">
        <v>1741</v>
      </c>
      <c r="C15" s="2176" t="str">
        <f>C3</f>
        <v>估价对象周边有富力尚悦居、珠江四季、星悦国际等住宅小区，综合评价居住社区成熟度较好</v>
      </c>
      <c r="D15" s="2144"/>
      <c r="E15" s="2177" t="s">
        <v>1763</v>
      </c>
      <c r="F15" s="2175" t="s">
        <v>1764</v>
      </c>
      <c r="G15" s="51" t="str">
        <f>G3</f>
        <v>估价对象位于XX开发区，园区建设成熟度XX，产业集聚程度XX</v>
      </c>
    </row>
    <row r="16" spans="1:29" ht="42.75">
      <c r="A16" s="629"/>
      <c r="B16" s="1492" t="s">
        <v>1744</v>
      </c>
      <c r="C16" s="2178" t="str">
        <f>C4</f>
        <v>估价对象位于XX商圈，周边商业氛围成熟，人流量大，商业繁华度好</v>
      </c>
      <c r="D16" s="2144"/>
      <c r="E16" s="2179"/>
      <c r="F16" s="2180" t="s">
        <v>1746</v>
      </c>
      <c r="G16" s="52" t="str">
        <f>G4</f>
        <v>估价对象周边道路状况、公共交通通达情况、停车便捷程度，综合评价交通便捷度较好</v>
      </c>
    </row>
    <row r="17" spans="1:18" ht="42.75">
      <c r="A17" s="629"/>
      <c r="B17" s="1492" t="s">
        <v>1748</v>
      </c>
      <c r="C17" s="2178" t="str">
        <f>C5</f>
        <v>估价对象位于XX商圈，周边办公楼项目较多，入驻率高，办公集聚程度较好</v>
      </c>
      <c r="D17" s="2151"/>
      <c r="E17" s="2179"/>
      <c r="F17" s="2180" t="s">
        <v>1765</v>
      </c>
      <c r="G17" s="2181"/>
    </row>
    <row r="18" spans="1:18" ht="71.25">
      <c r="A18" s="629"/>
      <c r="B18" s="2180" t="s">
        <v>1752</v>
      </c>
      <c r="C18" s="52" t="str">
        <f>C6</f>
        <v>估价对象周边有通28路、专47路等公交线路，距地铁亦庄线（经海路站）约2.6公里，综合评价交通便捷度一般</v>
      </c>
      <c r="D18" s="2151"/>
      <c r="E18" s="2179"/>
      <c r="F18" s="2180" t="s">
        <v>1755</v>
      </c>
      <c r="G18" s="52" t="str">
        <f>G7</f>
        <v>该园区内是否有污染型企业，绿化情况，卫生条件，整体环境状况判断</v>
      </c>
    </row>
    <row r="19" spans="1:18" ht="28.5">
      <c r="A19" s="629"/>
      <c r="B19" s="2180" t="s">
        <v>1766</v>
      </c>
      <c r="C19" s="2181"/>
      <c r="D19" s="2144"/>
      <c r="E19" s="2179"/>
      <c r="F19" s="1887" t="s">
        <v>1750</v>
      </c>
      <c r="G19" s="52" t="str">
        <f>G5</f>
        <v>估价对象所在区域公共配套设施齐备情况</v>
      </c>
    </row>
    <row r="20" spans="1:18" ht="42.75">
      <c r="A20" s="629"/>
      <c r="B20" s="2180" t="s">
        <v>1767</v>
      </c>
      <c r="C20" s="2178" t="str">
        <f>C9</f>
        <v>区域自然环境：金马公园；人文环境；综合评价环境状况一般</v>
      </c>
      <c r="D20" s="2151"/>
      <c r="E20" s="2179"/>
      <c r="F20" s="1887" t="s">
        <v>1768</v>
      </c>
      <c r="G20" s="52" t="str">
        <f>G6</f>
        <v>估价对象所在区域基础设施水平</v>
      </c>
    </row>
    <row r="21" spans="1:18" ht="28.5">
      <c r="A21" s="629"/>
      <c r="B21" s="1887" t="s">
        <v>1750</v>
      </c>
      <c r="C21" s="52" t="str">
        <f>C7</f>
        <v>估价对象所在区域公共配套设施齐备情况较好</v>
      </c>
      <c r="D21" s="2144"/>
      <c r="E21" s="2179"/>
      <c r="F21" s="2180" t="s">
        <v>1769</v>
      </c>
      <c r="G21" s="2182"/>
    </row>
    <row r="22" spans="1:18" ht="15">
      <c r="A22" s="629"/>
      <c r="B22" s="1887" t="s">
        <v>1753</v>
      </c>
      <c r="C22" s="52" t="str">
        <f>C8</f>
        <v>七通</v>
      </c>
      <c r="D22" s="2144"/>
      <c r="E22" s="2179"/>
      <c r="F22" s="2180" t="s">
        <v>1758</v>
      </c>
      <c r="G22" s="2183"/>
    </row>
    <row r="23" spans="1:18" s="2141" customFormat="1" ht="15.75" thickBot="1">
      <c r="A23" s="629"/>
      <c r="B23" s="2180" t="s">
        <v>1769</v>
      </c>
      <c r="C23" s="2182"/>
      <c r="D23" s="2168"/>
      <c r="E23" s="2184"/>
      <c r="F23" s="2185" t="s">
        <v>1770</v>
      </c>
      <c r="G23" s="2186"/>
      <c r="H23" s="2168"/>
      <c r="I23" s="2169"/>
      <c r="J23" s="2168"/>
      <c r="K23" s="2168"/>
      <c r="L23" s="2169"/>
      <c r="M23" s="2168"/>
      <c r="N23" s="2168"/>
      <c r="O23" s="2169"/>
      <c r="P23" s="2168"/>
      <c r="Q23" s="2168"/>
      <c r="R23" s="2170"/>
    </row>
    <row r="24" spans="1:18" s="2141" customFormat="1" ht="15.75" thickBot="1">
      <c r="A24" s="2187"/>
      <c r="B24" s="2185" t="s">
        <v>1771</v>
      </c>
      <c r="C24" s="53" t="str">
        <f>C10</f>
        <v>城市支路——兴贸一街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9" sqref="D9"/>
    </sheetView>
  </sheetViews>
  <sheetFormatPr defaultColWidth="14.625" defaultRowHeight="13.5"/>
  <cols>
    <col min="1" max="1" width="24.375" customWidth="1"/>
  </cols>
  <sheetData>
    <row r="1" spans="1:9" ht="16.5">
      <c r="A1" s="1830" t="s">
        <v>1227</v>
      </c>
      <c r="B1" s="1830">
        <f>SUM(B14:B23)</f>
        <v>77.75</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249.48419999999999</v>
      </c>
      <c r="C5" s="1830">
        <f ca="1">ROUND(B5*10000/$B$1,0)</f>
        <v>32088</v>
      </c>
      <c r="D5" s="1830" t="e">
        <f ca="1">ROUND(B5*10000/$B$2,0)</f>
        <v>#DIV/0!</v>
      </c>
      <c r="E5" s="1831"/>
      <c r="F5" s="1835"/>
      <c r="G5" s="1835"/>
    </row>
    <row r="6" spans="1:9" ht="16.5">
      <c r="A6" s="1830" t="s">
        <v>1235</v>
      </c>
      <c r="B6" s="1830">
        <f ca="1">SUM(G14:G23)</f>
        <v>249.48419999999999</v>
      </c>
      <c r="C6" s="1830">
        <f t="shared" ref="C6:C8" ca="1" si="0">ROUND(B6*10000/$B$1,0)</f>
        <v>32088</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1227</v>
      </c>
      <c r="C13" s="1834" t="s">
        <v>1228</v>
      </c>
      <c r="D13" s="1834" t="s">
        <v>1240</v>
      </c>
      <c r="E13" s="1830" t="s">
        <v>1232</v>
      </c>
      <c r="F13" s="1830" t="s">
        <v>1233</v>
      </c>
      <c r="G13" s="1834" t="s">
        <v>1241</v>
      </c>
      <c r="H13" s="1834" t="s">
        <v>1242</v>
      </c>
      <c r="I13" s="1834" t="s">
        <v>1243</v>
      </c>
    </row>
    <row r="14" spans="1:9" ht="16.5">
      <c r="A14" s="1837" t="s">
        <v>2858</v>
      </c>
      <c r="B14" s="1834">
        <f>项目基本情况!C12</f>
        <v>77.75</v>
      </c>
      <c r="C14" s="1834">
        <f>项目基本情况!C13</f>
        <v>0</v>
      </c>
      <c r="D14" s="1834">
        <f ca="1">IF('数据-取费表'!B3="万元",IF(A14="估价对象1（结果表）",结果表!H121,'结果表 (1修多)'!H124),IF(A14="估价对象1（结果表）",结果表!H121,'结果表 (1修多)'!H124)/10000)</f>
        <v>249.48419999999999</v>
      </c>
      <c r="E14" s="1834">
        <f ca="1">ROUND(D14*10000/B14,0)</f>
        <v>32088</v>
      </c>
      <c r="F14" s="1834" t="e">
        <f ca="1">ROUND(D14*10000/C14,0)</f>
        <v>#DIV/0!</v>
      </c>
      <c r="G14" s="1834">
        <f ca="1">IF('数据-取费表'!B3="万元",IF(A14="估价对象1（结果表）",结果表!D125,'结果表 (1修多)'!D128),IF(A14="估价对象1（结果表）",结果表!D125,'结果表 (1修多)'!D128)/10000)</f>
        <v>249.48419999999999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F19" sqref="F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1772</v>
      </c>
      <c r="B1" s="2194"/>
      <c r="C1" s="2194"/>
      <c r="D1" s="2194"/>
      <c r="E1" s="2194"/>
      <c r="F1" s="2194"/>
      <c r="G1" s="2194"/>
      <c r="H1" s="2194"/>
      <c r="I1" s="2194"/>
    </row>
    <row r="2" spans="1:12" ht="21.75" customHeight="1">
      <c r="A2" s="2922" t="str">
        <f>项目基本情况!B1</f>
        <v>北京市房地产市场价值预评估</v>
      </c>
      <c r="B2" s="2922"/>
      <c r="C2" s="2922"/>
      <c r="D2" s="2922"/>
      <c r="E2" s="2922"/>
      <c r="F2" s="2922"/>
      <c r="G2" s="2922"/>
      <c r="H2" s="2922"/>
      <c r="I2" s="2922"/>
    </row>
    <row r="3" spans="1:12" ht="12.75">
      <c r="A3" s="2928" t="s">
        <v>1773</v>
      </c>
      <c r="B3" s="2929"/>
      <c r="C3" s="2929"/>
      <c r="D3" s="2929"/>
      <c r="E3" s="2929"/>
      <c r="F3" s="2929"/>
      <c r="G3" s="2929"/>
      <c r="H3" s="2929"/>
      <c r="I3" s="2929"/>
    </row>
    <row r="4" spans="1:12" ht="14.25">
      <c r="A4" s="2196" t="s">
        <v>1774</v>
      </c>
      <c r="B4" s="2197" t="s">
        <v>1775</v>
      </c>
      <c r="C4" s="2198" t="s">
        <v>2860</v>
      </c>
      <c r="D4" s="2198" t="s">
        <v>2861</v>
      </c>
      <c r="E4" s="2933" t="s">
        <v>1776</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3" t="s">
        <v>1777</v>
      </c>
      <c r="B5" s="2868">
        <v>25</v>
      </c>
      <c r="C5" s="2930">
        <v>8</v>
      </c>
      <c r="D5" s="2927">
        <v>2</v>
      </c>
      <c r="E5" s="56" t="s">
        <v>1778</v>
      </c>
      <c r="F5" s="2199"/>
      <c r="G5" s="2199"/>
      <c r="H5" s="2199"/>
      <c r="I5" s="2200"/>
    </row>
    <row r="6" spans="1:12" ht="12.75">
      <c r="A6" s="2923"/>
      <c r="B6" s="2868"/>
      <c r="C6" s="2931"/>
      <c r="D6" s="2927"/>
      <c r="E6" s="56" t="s">
        <v>1779</v>
      </c>
      <c r="F6" s="2199"/>
      <c r="G6" s="2199"/>
      <c r="H6" s="2199"/>
      <c r="I6" s="2200"/>
    </row>
    <row r="7" spans="1:12" ht="12.75">
      <c r="A7" s="2923"/>
      <c r="B7" s="2868"/>
      <c r="C7" s="2932"/>
      <c r="D7" s="2927"/>
      <c r="E7" s="56" t="s">
        <v>1780</v>
      </c>
      <c r="F7" s="2199"/>
      <c r="G7" s="2199"/>
      <c r="H7" s="2199"/>
      <c r="I7" s="2200"/>
    </row>
    <row r="8" spans="1:12" ht="12.75">
      <c r="A8" s="2923" t="s">
        <v>1781</v>
      </c>
      <c r="B8" s="2868">
        <v>15</v>
      </c>
      <c r="C8" s="2930"/>
      <c r="D8" s="2927"/>
      <c r="E8" s="56" t="s">
        <v>1782</v>
      </c>
      <c r="F8" s="2199"/>
      <c r="G8" s="2199"/>
      <c r="H8" s="2199"/>
      <c r="I8" s="2200"/>
    </row>
    <row r="9" spans="1:12" ht="12.75">
      <c r="A9" s="2923"/>
      <c r="B9" s="2868"/>
      <c r="C9" s="2932"/>
      <c r="D9" s="2927"/>
      <c r="E9" s="56" t="s">
        <v>1783</v>
      </c>
      <c r="F9" s="2199"/>
      <c r="G9" s="2199"/>
      <c r="H9" s="2199"/>
      <c r="I9" s="2200"/>
    </row>
    <row r="10" spans="1:12" ht="12.75">
      <c r="A10" s="2923" t="s">
        <v>1784</v>
      </c>
      <c r="B10" s="2868">
        <v>15</v>
      </c>
      <c r="C10" s="2930"/>
      <c r="D10" s="2927"/>
      <c r="E10" s="56" t="s">
        <v>1785</v>
      </c>
      <c r="F10" s="2199"/>
      <c r="G10" s="2199"/>
      <c r="H10" s="2199"/>
      <c r="I10" s="2200"/>
    </row>
    <row r="11" spans="1:12" ht="12.75">
      <c r="A11" s="2923"/>
      <c r="B11" s="2868"/>
      <c r="C11" s="2932"/>
      <c r="D11" s="2927"/>
      <c r="E11" s="56" t="s">
        <v>1786</v>
      </c>
      <c r="F11" s="2199"/>
      <c r="G11" s="2199"/>
      <c r="H11" s="2199"/>
      <c r="I11" s="2200"/>
    </row>
    <row r="12" spans="1:12" ht="12.75">
      <c r="A12" s="2923" t="s">
        <v>1787</v>
      </c>
      <c r="B12" s="2868">
        <v>15</v>
      </c>
      <c r="C12" s="2930"/>
      <c r="D12" s="2927"/>
      <c r="E12" s="56" t="s">
        <v>1788</v>
      </c>
      <c r="F12" s="2199"/>
      <c r="G12" s="2199"/>
      <c r="H12" s="2199"/>
      <c r="I12" s="2200"/>
    </row>
    <row r="13" spans="1:12" ht="12.75">
      <c r="A13" s="2923"/>
      <c r="B13" s="2868"/>
      <c r="C13" s="2932"/>
      <c r="D13" s="2927"/>
      <c r="E13" s="56" t="s">
        <v>1789</v>
      </c>
      <c r="F13" s="2199"/>
      <c r="G13" s="2199"/>
      <c r="H13" s="2199"/>
      <c r="I13" s="2200"/>
    </row>
    <row r="14" spans="1:12" ht="12.75">
      <c r="A14" s="2923" t="s">
        <v>1790</v>
      </c>
      <c r="B14" s="2868">
        <v>30</v>
      </c>
      <c r="C14" s="2930"/>
      <c r="D14" s="2927"/>
      <c r="E14" s="56" t="s">
        <v>1791</v>
      </c>
      <c r="F14" s="2199"/>
      <c r="G14" s="2199"/>
      <c r="H14" s="2199"/>
      <c r="I14" s="2200"/>
    </row>
    <row r="15" spans="1:12" ht="12.75">
      <c r="A15" s="2923"/>
      <c r="B15" s="2868"/>
      <c r="C15" s="2931"/>
      <c r="D15" s="2927"/>
      <c r="E15" s="56" t="s">
        <v>1792</v>
      </c>
      <c r="F15" s="2199"/>
      <c r="G15" s="2199"/>
      <c r="H15" s="2199"/>
      <c r="I15" s="2200"/>
    </row>
    <row r="16" spans="1:12" ht="12.75">
      <c r="A16" s="2923"/>
      <c r="B16" s="2868"/>
      <c r="C16" s="2932"/>
      <c r="D16" s="2927"/>
      <c r="E16" s="56" t="s">
        <v>1793</v>
      </c>
      <c r="F16" s="2199"/>
      <c r="G16" s="2199"/>
      <c r="H16" s="2199"/>
      <c r="I16" s="2200"/>
    </row>
    <row r="17" spans="1:35" ht="15">
      <c r="A17" s="2201" t="s">
        <v>1794</v>
      </c>
      <c r="B17" s="2202"/>
      <c r="C17" s="57">
        <f>SUM(C5:C16)</f>
        <v>8</v>
      </c>
      <c r="D17" s="57">
        <f>SUM(D5:D16)</f>
        <v>2</v>
      </c>
      <c r="E17" s="2194"/>
      <c r="F17" s="2194"/>
      <c r="G17" s="2194"/>
      <c r="H17" s="2194"/>
      <c r="I17" s="2194"/>
    </row>
    <row r="18" spans="1:35" ht="15.75" thickBot="1">
      <c r="A18" s="2203" t="s">
        <v>1795</v>
      </c>
      <c r="B18" s="2204"/>
      <c r="C18" s="58">
        <f>ROUND(C17/SUM(C17:D17),2)</f>
        <v>0.8</v>
      </c>
      <c r="D18" s="58">
        <f>1-C18</f>
        <v>0.19999999999999996</v>
      </c>
      <c r="E18" s="2194"/>
      <c r="F18" s="2194"/>
      <c r="G18" s="2194"/>
      <c r="H18" s="2194"/>
      <c r="I18" s="2194"/>
    </row>
    <row r="19" spans="1:35" ht="15">
      <c r="A19" s="2205" t="s">
        <v>1796</v>
      </c>
      <c r="B19" s="2206" t="s">
        <v>1797</v>
      </c>
      <c r="C19" s="59">
        <f ca="1">SUMIF(INDIRECT("'"&amp;C4&amp;"'"&amp;"!A:A"),结果表!B19,INDIRECT("'"&amp;C4&amp;"'"&amp;"!B:B"))</f>
        <v>2717518</v>
      </c>
      <c r="D19" s="60">
        <f ca="1">SUMIF(INDIRECT("'"&amp;D4&amp;"'"&amp;"!A:A"),结果表!B19,INDIRECT("'"&amp;D4&amp;"'"&amp;"!B:B"))</f>
        <v>1604266</v>
      </c>
      <c r="E19" s="2205" t="s">
        <v>1798</v>
      </c>
      <c r="F19" s="2206" t="s">
        <v>1797</v>
      </c>
      <c r="G19" s="61">
        <f ca="1">ROUND(C19*$C$18+D19*$D$18,0)</f>
        <v>2494868</v>
      </c>
      <c r="H19" s="2207" t="str">
        <f>'数据-取费表'!B3</f>
        <v>元</v>
      </c>
      <c r="I19" s="2194"/>
    </row>
    <row r="20" spans="1:35" ht="15">
      <c r="A20" s="2208"/>
      <c r="B20" s="2209" t="s">
        <v>1799</v>
      </c>
      <c r="C20" s="62">
        <f ca="1">SUMIF(INDIRECT("'"&amp;C4&amp;"'"&amp;"!A:A"),结果表!B20,INDIRECT("'"&amp;C4&amp;"'"&amp;"!B:B"))</f>
        <v>34952</v>
      </c>
      <c r="D20" s="63">
        <f ca="1">SUMIF(INDIRECT("'"&amp;D4&amp;"'"&amp;"!A:A"),结果表!B20,INDIRECT("'"&amp;D4&amp;"'"&amp;"!B:B"))</f>
        <v>20634</v>
      </c>
      <c r="E20" s="2208"/>
      <c r="F20" s="2209" t="s">
        <v>1799</v>
      </c>
      <c r="G20" s="64">
        <f ca="1">ROUND(C20*$C$18+D20*$D$18,0)</f>
        <v>32088</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f ca="1">IF(C19&lt;D19,D19/C19-1,C19/D19-1)</f>
        <v>0.69393230299713382</v>
      </c>
      <c r="E22" s="2194"/>
      <c r="F22" s="2194"/>
      <c r="G22" s="2194"/>
      <c r="H22" s="2194"/>
      <c r="I22" s="2194"/>
    </row>
    <row r="23" spans="1:35" ht="13.5" thickBot="1">
      <c r="A23" s="2194"/>
      <c r="B23" s="2194"/>
      <c r="C23" s="2194"/>
      <c r="D23" s="2194"/>
      <c r="E23" s="2194"/>
      <c r="F23" s="2194"/>
      <c r="G23" s="2194"/>
      <c r="H23" s="2194"/>
      <c r="I23" s="2194"/>
    </row>
    <row r="24" spans="1:35" ht="21.75" customHeight="1">
      <c r="A24" s="2936" t="s">
        <v>1802</v>
      </c>
      <c r="B24" s="2206" t="s">
        <v>1797</v>
      </c>
      <c r="C24" s="61">
        <f>D30</f>
        <v>0</v>
      </c>
      <c r="D24" s="993"/>
      <c r="E24" s="2194"/>
      <c r="F24" s="2194"/>
      <c r="G24" s="2194"/>
      <c r="H24" s="2194"/>
      <c r="I24" s="2194"/>
    </row>
    <row r="25" spans="1:35" ht="21.75" customHeight="1">
      <c r="A25" s="2937"/>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1807</v>
      </c>
      <c r="B30" s="67"/>
      <c r="C30" s="67"/>
      <c r="D30" s="67"/>
      <c r="E30" s="2716" t="s">
        <v>2813</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1808</v>
      </c>
      <c r="B32" s="2223" t="str">
        <f>'数据-取费表'!B4</f>
        <v>楼面单价</v>
      </c>
      <c r="C32" s="1144">
        <f ca="1">IF(B32="总价",G19-C24,G20-C25)</f>
        <v>32088</v>
      </c>
      <c r="D32" s="2194" t="str">
        <f>IF(B32="楼面单价","元/平方米",H19)</f>
        <v>元/平方米</v>
      </c>
      <c r="E32" s="2194"/>
      <c r="F32" s="2194"/>
      <c r="G32" s="2194"/>
      <c r="H32" s="2194"/>
      <c r="I32" s="2194"/>
    </row>
    <row r="33" spans="1:16" ht="15">
      <c r="A33" s="2224" t="s">
        <v>1809</v>
      </c>
      <c r="B33" s="2225"/>
      <c r="C33" s="2226"/>
      <c r="D33" s="2227"/>
      <c r="E33" s="2228" t="s">
        <v>1810</v>
      </c>
      <c r="F33" s="2229" t="str">
        <f>IF(B32="楼面单价","取值（单价）","取值（总价）")</f>
        <v>取值（单价）</v>
      </c>
      <c r="G33" s="2194"/>
      <c r="H33" s="2194"/>
      <c r="I33" s="2194"/>
    </row>
    <row r="34" spans="1:16" ht="15">
      <c r="A34" s="2230"/>
      <c r="B34" s="2231" t="s">
        <v>1811</v>
      </c>
      <c r="C34" s="72">
        <f ca="1">IF(D33="自定义",F34,C32-C35)</f>
        <v>25831</v>
      </c>
      <c r="D34" s="1090">
        <f ca="1">IF(D33="自定义",ROUND(C34/C32,3),1-D35)</f>
        <v>0.80499999999999994</v>
      </c>
      <c r="E34" s="2232" t="s">
        <v>1812</v>
      </c>
      <c r="F34" s="1828">
        <v>2000</v>
      </c>
      <c r="G34" s="2194"/>
      <c r="H34" s="2194"/>
      <c r="I34" s="2194"/>
    </row>
    <row r="35" spans="1:16" ht="15.75" thickBot="1">
      <c r="A35" s="2233"/>
      <c r="B35" s="2234" t="s">
        <v>1813</v>
      </c>
      <c r="C35" s="73">
        <f ca="1">IF(D33="自定义",F35,ROUND(C32*D35,0))</f>
        <v>6257</v>
      </c>
      <c r="D35" s="1089">
        <f ca="1">IF(D33="自定义",ROUND(C35/C32,3),IF(D33="成本法成本比率",成本法!C56,IF(D33="收益法收益比率",收益法!J38,收益法!J41)))</f>
        <v>0.19500000000000001</v>
      </c>
      <c r="E35" s="2235" t="s">
        <v>1814</v>
      </c>
      <c r="F35" s="79">
        <v>4460</v>
      </c>
      <c r="G35" s="2194"/>
      <c r="H35" s="2194"/>
      <c r="I35" s="2194"/>
    </row>
    <row r="36" spans="1:16" ht="15.75" thickBot="1">
      <c r="A36" s="2941" t="s">
        <v>1815</v>
      </c>
      <c r="B36" s="2236" t="s">
        <v>1816</v>
      </c>
      <c r="C36" s="69">
        <v>0</v>
      </c>
      <c r="D36" s="2237"/>
      <c r="E36" s="2238"/>
      <c r="F36" s="2238"/>
      <c r="G36" s="2194"/>
      <c r="H36" s="2194"/>
      <c r="I36" s="2194"/>
    </row>
    <row r="37" spans="1:16" ht="15.75" thickBot="1">
      <c r="A37" s="2942"/>
      <c r="B37" s="2239" t="s">
        <v>1817</v>
      </c>
      <c r="C37" s="71">
        <v>0</v>
      </c>
      <c r="D37" s="2204"/>
      <c r="E37" s="2204"/>
      <c r="F37" s="2238"/>
      <c r="G37" s="2204"/>
      <c r="H37" s="2204"/>
      <c r="I37" s="2204"/>
    </row>
    <row r="38" spans="1:16" ht="15.75" thickBot="1">
      <c r="A38" s="2943"/>
      <c r="B38" s="2240" t="s">
        <v>1818</v>
      </c>
      <c r="C38" s="712">
        <v>0</v>
      </c>
      <c r="D38" s="2241" t="s">
        <v>1819</v>
      </c>
      <c r="E38" s="2204"/>
      <c r="F38" s="2238"/>
      <c r="G38" s="2204"/>
      <c r="H38" s="2204"/>
      <c r="I38" s="2204"/>
    </row>
    <row r="39" spans="1:16" ht="15">
      <c r="A39" s="2208" t="s">
        <v>1820</v>
      </c>
      <c r="B39" s="2242" t="s">
        <v>1804</v>
      </c>
      <c r="C39" s="2243" t="s">
        <v>1805</v>
      </c>
      <c r="D39" s="2243" t="s">
        <v>1821</v>
      </c>
      <c r="E39" s="2244" t="s">
        <v>1806</v>
      </c>
      <c r="F39" s="2238"/>
      <c r="G39" s="2204"/>
      <c r="H39" s="2204"/>
      <c r="I39" s="2204"/>
    </row>
    <row r="40" spans="1:16" ht="14.25">
      <c r="A40" s="2245" t="s">
        <v>1822</v>
      </c>
      <c r="B40" s="74"/>
      <c r="C40" s="75"/>
      <c r="D40" s="75"/>
      <c r="E40" s="76"/>
      <c r="F40" s="2238"/>
      <c r="G40" s="2204"/>
      <c r="H40" s="2204"/>
      <c r="I40" s="2204"/>
    </row>
    <row r="41" spans="1:16" ht="14.25">
      <c r="A41" s="2245" t="s">
        <v>1823</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1824</v>
      </c>
      <c r="B44" s="2251"/>
      <c r="C44" s="2251"/>
      <c r="D44" s="2252"/>
      <c r="E44" s="2252"/>
      <c r="F44" s="2253"/>
      <c r="G44" s="2253"/>
      <c r="H44" s="2253"/>
      <c r="I44" s="2253"/>
      <c r="J44" s="2254" t="s">
        <v>1825</v>
      </c>
      <c r="K44" s="2255"/>
      <c r="L44" s="2255"/>
      <c r="M44" s="2255"/>
      <c r="N44" s="2255"/>
      <c r="O44" s="2255"/>
      <c r="P44" s="1845"/>
    </row>
    <row r="45" spans="1:16" ht="14.25" customHeight="1" thickBot="1">
      <c r="A45" s="2946" t="s">
        <v>1826</v>
      </c>
      <c r="B45" s="2947"/>
      <c r="C45" s="2948"/>
      <c r="D45" s="80">
        <f ca="1">ROUND(I102*F45,0)</f>
        <v>2494842</v>
      </c>
      <c r="E45" s="81" t="s">
        <v>1827</v>
      </c>
      <c r="F45" s="82">
        <v>1</v>
      </c>
      <c r="G45" s="83" t="s">
        <v>1828</v>
      </c>
      <c r="H45" s="2194"/>
      <c r="I45" s="2194"/>
      <c r="J45" s="2858" t="s">
        <v>1829</v>
      </c>
      <c r="K45" s="2858"/>
      <c r="L45" s="2858"/>
      <c r="M45" s="2858"/>
      <c r="N45" s="2858"/>
      <c r="O45" s="2858"/>
      <c r="P45" s="1845"/>
    </row>
    <row r="46" spans="1:16" ht="14.25" customHeight="1">
      <c r="A46" s="2938" t="s">
        <v>1830</v>
      </c>
      <c r="B46" s="2939"/>
      <c r="C46" s="2939"/>
      <c r="D46" s="2939"/>
      <c r="E46" s="2939"/>
      <c r="F46" s="2939"/>
      <c r="G46" s="2940"/>
      <c r="H46" s="2256"/>
      <c r="I46" s="1143"/>
      <c r="J46" s="1883">
        <v>1</v>
      </c>
      <c r="K46" s="2858" t="s">
        <v>1831</v>
      </c>
      <c r="L46" s="2858"/>
      <c r="M46" s="2859" t="str">
        <f>项目基本情况!B1</f>
        <v>北京市房地产市场价值预评估</v>
      </c>
      <c r="N46" s="2859"/>
      <c r="O46" s="2859"/>
      <c r="P46" s="1845"/>
    </row>
    <row r="47" spans="1:16" ht="12" customHeight="1">
      <c r="A47" s="85" t="s">
        <v>1832</v>
      </c>
      <c r="B47" s="86"/>
      <c r="C47" s="87"/>
      <c r="D47" s="88" t="s">
        <v>1833</v>
      </c>
      <c r="E47" s="14" t="s">
        <v>1834</v>
      </c>
      <c r="F47" s="89" t="s">
        <v>1835</v>
      </c>
      <c r="G47" s="90" t="s">
        <v>1836</v>
      </c>
      <c r="H47" s="2256"/>
      <c r="I47" s="1143"/>
      <c r="J47" s="1883">
        <v>2</v>
      </c>
      <c r="K47" s="2858" t="s">
        <v>1837</v>
      </c>
      <c r="L47" s="2858"/>
      <c r="M47" s="2860">
        <f>'数据-取费表'!B2</f>
        <v>43073</v>
      </c>
      <c r="N47" s="2860"/>
      <c r="O47" s="2860"/>
      <c r="P47" s="1845"/>
    </row>
    <row r="48" spans="1:16" ht="25.5">
      <c r="A48" s="2944" t="s">
        <v>1838</v>
      </c>
      <c r="B48" s="2945"/>
      <c r="C48" s="2945"/>
      <c r="D48" s="56">
        <f ca="1">IF(H48="情况1",0,IF(H48="情况2",D52,IF(H48="情况3",D53,IF(H48="情况4",D54))))</f>
        <v>130682</v>
      </c>
      <c r="E48" s="1893" t="str">
        <f>IF(H48="情况4","(销售额-原购置价)×税（费）率","销售额×税（费）率")</f>
        <v>销售额×税（费）率</v>
      </c>
      <c r="F48" s="91">
        <f>IF(H48="情况1","免征",'数据-取费表'!E29)</f>
        <v>5.5000000000000007E-2</v>
      </c>
      <c r="G48" s="2257" t="s">
        <v>1839</v>
      </c>
      <c r="H48" s="2258" t="s">
        <v>1840</v>
      </c>
      <c r="I48" s="2256"/>
      <c r="J48" s="1883">
        <v>3</v>
      </c>
      <c r="K48" s="2858" t="s">
        <v>1841</v>
      </c>
      <c r="L48" s="2858"/>
      <c r="M48" s="2859">
        <f ca="1">I102</f>
        <v>2494842</v>
      </c>
      <c r="N48" s="2859"/>
      <c r="O48" s="2859"/>
      <c r="P48" s="1845"/>
    </row>
    <row r="49" spans="1:16" ht="25.5" customHeight="1">
      <c r="A49" s="92" t="s">
        <v>1842</v>
      </c>
      <c r="B49" s="2925" t="s">
        <v>1843</v>
      </c>
      <c r="C49" s="2925"/>
      <c r="D49" s="93">
        <v>0</v>
      </c>
      <c r="E49" s="13" t="s">
        <v>1844</v>
      </c>
      <c r="F49" s="18" t="s">
        <v>48</v>
      </c>
      <c r="G49" s="2849"/>
      <c r="H49" s="2194"/>
      <c r="I49" s="2259"/>
      <c r="J49" s="1883">
        <v>4</v>
      </c>
      <c r="K49" s="2858" t="str">
        <f>IF(项目基本情况!F5="房地产抵押价值","房地产抵押价值","抵押担保权已注销时的房地产抵押价值")</f>
        <v>抵押担保权已注销时的房地产抵押价值</v>
      </c>
      <c r="L49" s="2858"/>
      <c r="M49" s="2859" t="str">
        <f>IF(项目基本情况!E8="房地产抵押价值",I110,I112)</f>
        <v>——</v>
      </c>
      <c r="N49" s="2859"/>
      <c r="O49" s="2859"/>
      <c r="P49" s="1845"/>
    </row>
    <row r="50" spans="1:16" ht="25.5" customHeight="1">
      <c r="A50" s="94"/>
      <c r="B50" s="2925" t="s">
        <v>1845</v>
      </c>
      <c r="C50" s="2925"/>
      <c r="D50" s="95"/>
      <c r="E50" s="21"/>
      <c r="F50" s="96"/>
      <c r="G50" s="2850"/>
      <c r="H50" s="2194"/>
      <c r="I50" s="2259"/>
      <c r="J50" s="2858" t="s">
        <v>1846</v>
      </c>
      <c r="K50" s="2858"/>
      <c r="L50" s="2858"/>
      <c r="M50" s="2858"/>
      <c r="N50" s="2858"/>
      <c r="O50" s="2858"/>
      <c r="P50" s="1845"/>
    </row>
    <row r="51" spans="1:16" ht="12" customHeight="1">
      <c r="A51" s="97"/>
      <c r="B51" s="2925" t="s">
        <v>1847</v>
      </c>
      <c r="C51" s="2925"/>
      <c r="D51" s="98"/>
      <c r="E51" s="20"/>
      <c r="F51" s="96"/>
      <c r="G51" s="2851"/>
      <c r="H51" s="2194"/>
      <c r="I51" s="2259"/>
      <c r="J51" s="2260" t="s">
        <v>1848</v>
      </c>
      <c r="K51" s="2858" t="s">
        <v>1849</v>
      </c>
      <c r="L51" s="2858"/>
      <c r="M51" s="2260" t="s">
        <v>1850</v>
      </c>
      <c r="N51" s="2260" t="s">
        <v>1851</v>
      </c>
      <c r="O51" s="2260" t="s">
        <v>1852</v>
      </c>
      <c r="P51" s="1845"/>
    </row>
    <row r="52" spans="1:16" ht="24" customHeight="1">
      <c r="A52" s="99" t="s">
        <v>1853</v>
      </c>
      <c r="B52" s="2925" t="s">
        <v>1854</v>
      </c>
      <c r="C52" s="2925"/>
      <c r="D52" s="98">
        <f ca="1">ROUND(D45*'数据-取费表'!E29/(1+'数据-取费表'!F30),0)</f>
        <v>130682</v>
      </c>
      <c r="E52" s="10" t="s">
        <v>1855</v>
      </c>
      <c r="F52" s="100">
        <f>'数据-取费表'!E29</f>
        <v>5.5000000000000007E-2</v>
      </c>
      <c r="G52" s="2261"/>
      <c r="H52" s="2194"/>
      <c r="I52" s="2259"/>
      <c r="J52" s="1883">
        <v>1</v>
      </c>
      <c r="K52" s="2848" t="s">
        <v>1856</v>
      </c>
      <c r="L52" s="2848"/>
      <c r="M52" s="778">
        <f ca="1">D48</f>
        <v>130682</v>
      </c>
      <c r="N52" s="1883" t="str">
        <f>E48</f>
        <v>销售额×税（费）率</v>
      </c>
      <c r="O52" s="779">
        <f>F48</f>
        <v>5.5000000000000007E-2</v>
      </c>
      <c r="P52" s="1845"/>
    </row>
    <row r="53" spans="1:16" ht="12" customHeight="1">
      <c r="A53" s="99" t="s">
        <v>1857</v>
      </c>
      <c r="B53" s="2924" t="s">
        <v>1858</v>
      </c>
      <c r="C53" s="2815"/>
      <c r="D53" s="98">
        <f ca="1">ROUND(D45*'数据-取费表'!E29/(1+'数据-取费表'!F30),0)</f>
        <v>130682</v>
      </c>
      <c r="E53" s="10" t="s">
        <v>1855</v>
      </c>
      <c r="F53" s="100">
        <f>'数据-取费表'!E29</f>
        <v>5.5000000000000007E-2</v>
      </c>
      <c r="G53" s="2261"/>
      <c r="H53" s="2194"/>
      <c r="I53" s="2259"/>
      <c r="J53" s="1883">
        <v>2</v>
      </c>
      <c r="K53" s="2848" t="s">
        <v>1859</v>
      </c>
      <c r="L53" s="2848"/>
      <c r="M53" s="778">
        <f t="shared" ref="M53:O54" ca="1" si="1">D55</f>
        <v>1247</v>
      </c>
      <c r="N53" s="1883" t="str">
        <f t="shared" si="1"/>
        <v>销售额×税（费）率</v>
      </c>
      <c r="O53" s="779">
        <f t="shared" si="1"/>
        <v>5.0000000000000001E-4</v>
      </c>
      <c r="P53" s="1845"/>
    </row>
    <row r="54" spans="1:16" ht="12" customHeight="1">
      <c r="A54" s="99" t="s">
        <v>1860</v>
      </c>
      <c r="B54" s="2924" t="s">
        <v>1861</v>
      </c>
      <c r="C54" s="2815"/>
      <c r="D54" s="98">
        <f ca="1">C68</f>
        <v>130682</v>
      </c>
      <c r="E54" s="20" t="s">
        <v>1862</v>
      </c>
      <c r="F54" s="100">
        <f>'数据-取费表'!E29</f>
        <v>5.5000000000000007E-2</v>
      </c>
      <c r="G54" s="2261"/>
      <c r="H54" s="2262"/>
      <c r="I54" s="2259"/>
      <c r="J54" s="1883">
        <v>3</v>
      </c>
      <c r="K54" s="2848" t="s">
        <v>1863</v>
      </c>
      <c r="L54" s="2848"/>
      <c r="M54" s="778">
        <f t="shared" ca="1" si="1"/>
        <v>1414338</v>
      </c>
      <c r="N54" s="1883" t="str">
        <f t="shared" si="1"/>
        <v>增值额×税（费）率</v>
      </c>
      <c r="O54" s="780" t="str">
        <f t="shared" si="1"/>
        <v>——</v>
      </c>
      <c r="P54" s="1845"/>
    </row>
    <row r="55" spans="1:16" ht="24" customHeight="1">
      <c r="A55" s="2807" t="s">
        <v>1864</v>
      </c>
      <c r="B55" s="2945"/>
      <c r="C55" s="2945"/>
      <c r="D55" s="101">
        <f ca="1">IF(H55="个人住宅",0,ROUND(D45*I55,0))</f>
        <v>1247</v>
      </c>
      <c r="E55" s="10" t="s">
        <v>1865</v>
      </c>
      <c r="F55" s="100">
        <f>IF(H55="正常",I55,"免征")</f>
        <v>5.0000000000000001E-4</v>
      </c>
      <c r="G55" s="2261"/>
      <c r="H55" s="2258" t="s">
        <v>1866</v>
      </c>
      <c r="I55" s="102">
        <f>'数据-取费表'!E37</f>
        <v>5.0000000000000001E-4</v>
      </c>
      <c r="J55" s="1883">
        <f>IF(H59="非个人房产","",4)</f>
        <v>4</v>
      </c>
      <c r="K55" s="2848" t="str">
        <f>IF(H59="非个人房产","——","个人所得税")</f>
        <v>个人所得税</v>
      </c>
      <c r="L55" s="2848"/>
      <c r="M55" s="781">
        <f ca="1">D59</f>
        <v>24948</v>
      </c>
      <c r="N55" s="1886" t="str">
        <f>E59</f>
        <v>销售额×税（费）率</v>
      </c>
      <c r="O55" s="782">
        <f>F59</f>
        <v>0.01</v>
      </c>
      <c r="P55" s="1845"/>
    </row>
    <row r="56" spans="1:16" ht="24.75">
      <c r="A56" s="2807" t="s">
        <v>1867</v>
      </c>
      <c r="B56" s="2945"/>
      <c r="C56" s="2945"/>
      <c r="D56" s="101">
        <f ca="1">IF(H56="个人住宅",D57,D58)</f>
        <v>1414338</v>
      </c>
      <c r="E56" s="10" t="s">
        <v>1868</v>
      </c>
      <c r="F56" s="100" t="str">
        <f>IF(H56="正常",F58,"免征")</f>
        <v>——</v>
      </c>
      <c r="G56" s="2263" t="s">
        <v>1869</v>
      </c>
      <c r="H56" s="2264" t="s">
        <v>1866</v>
      </c>
      <c r="I56" s="1021"/>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1842</v>
      </c>
      <c r="B57" s="2933" t="s">
        <v>1870</v>
      </c>
      <c r="C57" s="2935"/>
      <c r="D57" s="103">
        <v>0</v>
      </c>
      <c r="E57" s="13" t="s">
        <v>1844</v>
      </c>
      <c r="F57" s="70"/>
      <c r="G57" s="2261"/>
      <c r="H57" s="1021"/>
      <c r="I57" s="1021"/>
      <c r="J57" s="2848">
        <f>IF(AND(J55="",J56=""),4,IF(项目基本情况!I6="上海银行",J56+1,J55+1))</f>
        <v>5</v>
      </c>
      <c r="K57" s="2848" t="s">
        <v>1871</v>
      </c>
      <c r="L57" s="2265" t="s">
        <v>1872</v>
      </c>
      <c r="M57" s="783"/>
      <c r="N57" s="784">
        <f ca="1">SUMIF(M52:M56,"&lt;9e307")</f>
        <v>1571215</v>
      </c>
      <c r="O57" s="2266"/>
      <c r="P57" s="1841" t="e">
        <f ca="1">N57/M49</f>
        <v>#VALUE!</v>
      </c>
    </row>
    <row r="58" spans="1:16" ht="24.75">
      <c r="A58" s="99" t="s">
        <v>1853</v>
      </c>
      <c r="B58" s="2933" t="s">
        <v>1873</v>
      </c>
      <c r="C58" s="2934"/>
      <c r="D58" s="101">
        <f ca="1">IF(H58="转让取得",C81,C97)</f>
        <v>1414338</v>
      </c>
      <c r="E58" s="10" t="s">
        <v>1868</v>
      </c>
      <c r="F58" s="14" t="s">
        <v>48</v>
      </c>
      <c r="G58" s="2261"/>
      <c r="H58" s="2264" t="s">
        <v>1874</v>
      </c>
      <c r="I58" s="1021"/>
      <c r="J58" s="2848"/>
      <c r="K58" s="2848"/>
      <c r="L58" s="2265" t="s">
        <v>1875</v>
      </c>
      <c r="M58" s="785"/>
      <c r="N58" s="2267" t="str">
        <f ca="1">IF(H19="元",NUMBERSTRING(INT(N57),2)&amp;"元整",NUMBERSTRING(INT(N57*10000),2)&amp;"元整")</f>
        <v>壹佰伍拾柒万壹仟贰佰壹拾伍元整</v>
      </c>
      <c r="O58" s="2268"/>
      <c r="P58" s="1845"/>
    </row>
    <row r="59" spans="1:16" ht="26.25" thickBot="1">
      <c r="A59" s="2808" t="s">
        <v>1876</v>
      </c>
      <c r="B59" s="2811"/>
      <c r="C59" s="2811"/>
      <c r="D59" s="104">
        <f ca="1">IF(H59="非个人房产","——",IF(H59="个人住宅",0,ROUND(D45*I59,0)))</f>
        <v>24948</v>
      </c>
      <c r="E59" s="105" t="str">
        <f>IF(H59="非个人房产","——","销售额×税（费）率")</f>
        <v>销售额×税（费）率</v>
      </c>
      <c r="F59" s="106">
        <f>IF(H59="非个人房产","——",IF(H59="个人住宅","免征",I59))</f>
        <v>0.01</v>
      </c>
      <c r="G59" s="2269" t="s">
        <v>1869</v>
      </c>
      <c r="H59" s="2264" t="s">
        <v>1877</v>
      </c>
      <c r="I59" s="107">
        <v>0.01</v>
      </c>
      <c r="J59" s="2902">
        <f>J57+1</f>
        <v>6</v>
      </c>
      <c r="K59" s="2848" t="s">
        <v>1878</v>
      </c>
      <c r="L59" s="1883" t="s">
        <v>1872</v>
      </c>
      <c r="M59" s="786"/>
      <c r="N59" s="787" t="e">
        <f ca="1">M49-N57</f>
        <v>#VALUE!</v>
      </c>
      <c r="O59" s="2270"/>
      <c r="P59" s="1845"/>
    </row>
    <row r="60" spans="1:16" ht="12" customHeight="1">
      <c r="A60" s="2067"/>
      <c r="B60" s="2194"/>
      <c r="C60" s="2194"/>
      <c r="D60" s="2194"/>
      <c r="E60" s="1021"/>
      <c r="F60" s="1021"/>
      <c r="G60" s="1021"/>
      <c r="H60" s="2247"/>
      <c r="I60" s="2194"/>
      <c r="J60" s="2903"/>
      <c r="K60" s="2848"/>
      <c r="L60" s="2265" t="s">
        <v>1875</v>
      </c>
      <c r="M60" s="785"/>
      <c r="N60" s="2267" t="e">
        <f ca="1">IF(H19="元",NUMBERSTRING(INT(N59),2)&amp;"元整",NUMBERSTRING(INT(N59*10000),2)&amp;"元整")</f>
        <v>#VALUE!</v>
      </c>
      <c r="O60" s="2268"/>
      <c r="P60" s="1845"/>
    </row>
    <row r="61" spans="1:16" ht="13.5" thickBot="1">
      <c r="A61" s="2949" t="s">
        <v>1879</v>
      </c>
      <c r="B61" s="2949"/>
      <c r="C61" s="2949"/>
      <c r="D61" s="2949"/>
      <c r="E61" s="2949"/>
      <c r="F61" s="1021"/>
      <c r="G61" s="1021"/>
      <c r="H61" s="2247"/>
      <c r="I61" s="2194"/>
      <c r="J61" s="1883">
        <f>J59+1</f>
        <v>7</v>
      </c>
      <c r="K61" s="2848" t="s">
        <v>1880</v>
      </c>
      <c r="L61" s="2848"/>
      <c r="M61" s="788"/>
      <c r="N61" s="789" t="e">
        <f ca="1">IF(H19="元",ROUND(N59/项目基本情况!C12,0),ROUND(N59*10000/项目基本情况!C12,0))</f>
        <v>#VALUE!</v>
      </c>
      <c r="O61" s="2271"/>
      <c r="P61" s="1845"/>
    </row>
    <row r="62" spans="1:16" ht="12.75">
      <c r="A62" s="2886" t="s">
        <v>1881</v>
      </c>
      <c r="B62" s="2887"/>
      <c r="C62" s="1885"/>
      <c r="D62" s="1885" t="s">
        <v>1882</v>
      </c>
      <c r="E62" s="108" t="s">
        <v>1883</v>
      </c>
      <c r="F62" s="1021"/>
      <c r="G62" s="1021"/>
      <c r="H62" s="2247"/>
      <c r="I62" s="2194"/>
      <c r="J62" s="1845"/>
      <c r="K62" s="1845"/>
      <c r="L62" s="1845"/>
      <c r="M62" s="1845"/>
      <c r="N62" s="1845"/>
      <c r="O62" s="1845"/>
      <c r="P62" s="1845"/>
    </row>
    <row r="63" spans="1:16" ht="12.75">
      <c r="A63" s="109">
        <v>1</v>
      </c>
      <c r="B63" s="110" t="s">
        <v>1884</v>
      </c>
      <c r="C63" s="111">
        <f ca="1">ROUND((C64+C65)/(1+'数据-取费表'!F30),0)</f>
        <v>2376040</v>
      </c>
      <c r="D63" s="112"/>
      <c r="E63" s="113"/>
      <c r="F63" s="1021"/>
      <c r="G63" s="1021"/>
      <c r="H63" s="2247"/>
      <c r="I63" s="2194"/>
      <c r="J63" s="2867" t="s">
        <v>1885</v>
      </c>
      <c r="K63" s="2272"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2494842</v>
      </c>
      <c r="D64" s="117" t="s">
        <v>41</v>
      </c>
      <c r="E64" s="118"/>
      <c r="F64" s="1021"/>
      <c r="G64" s="1021"/>
      <c r="H64" s="2247"/>
      <c r="I64" s="2194"/>
      <c r="J64" s="2867"/>
      <c r="K64" s="2272"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1"/>
      <c r="G65" s="1021"/>
      <c r="H65" s="2247"/>
      <c r="I65" s="2194"/>
      <c r="J65" s="2867"/>
      <c r="K65" s="2272"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1"/>
      <c r="G66" s="1021"/>
      <c r="H66" s="2247"/>
      <c r="I66" s="2194"/>
      <c r="J66" s="2867"/>
      <c r="K66" s="2272" t="s">
        <v>1894</v>
      </c>
      <c r="L66" s="1844" t="e">
        <f>M49*0.5%</f>
        <v>#VALUE!</v>
      </c>
      <c r="M66" s="14" t="e">
        <f>IF(L66&gt;0.5,0.5,ROUND(L66,0))</f>
        <v>#VALUE!</v>
      </c>
      <c r="N66" s="1845" t="s">
        <v>1895</v>
      </c>
      <c r="O66" s="1845"/>
      <c r="P66" s="1845"/>
    </row>
    <row r="67" spans="1:35" ht="12.75">
      <c r="A67" s="120" t="s">
        <v>42</v>
      </c>
      <c r="B67" s="121" t="s">
        <v>1896</v>
      </c>
      <c r="C67" s="124">
        <f ca="1">C63-C66</f>
        <v>2376040</v>
      </c>
      <c r="D67" s="117" t="s">
        <v>41</v>
      </c>
      <c r="E67" s="118"/>
      <c r="F67" s="1021"/>
      <c r="G67" s="1021"/>
      <c r="H67" s="2247"/>
      <c r="I67" s="2194"/>
      <c r="J67" s="2867"/>
      <c r="K67" s="2272"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130682</v>
      </c>
      <c r="D68" s="128">
        <f>'数据-取费表'!E29</f>
        <v>5.5000000000000007E-2</v>
      </c>
      <c r="E68" s="129"/>
      <c r="F68" s="1021"/>
      <c r="G68" s="1021"/>
      <c r="H68" s="2247"/>
      <c r="I68" s="2194"/>
      <c r="J68" s="2867"/>
      <c r="K68" s="2272" t="s">
        <v>1899</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1"/>
      <c r="G69" s="1021"/>
      <c r="H69" s="2247"/>
      <c r="I69" s="2194"/>
      <c r="J69" s="2867"/>
      <c r="K69" s="2272" t="s">
        <v>1900</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8" t="s">
        <v>1901</v>
      </c>
      <c r="B70" s="2889"/>
      <c r="C70" s="2889"/>
      <c r="D70" s="2889"/>
      <c r="E70" s="2889"/>
      <c r="F70" s="2889"/>
      <c r="G70" s="2889"/>
      <c r="H70" s="2889"/>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6" t="s">
        <v>1881</v>
      </c>
      <c r="B71" s="2887"/>
      <c r="C71" s="1885"/>
      <c r="D71" s="1885" t="s">
        <v>1882</v>
      </c>
      <c r="E71" s="130" t="s">
        <v>1883</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1902</v>
      </c>
      <c r="C72" s="124">
        <f ca="1">ROUND(D45/(1+'数据-取费表'!F30),0)</f>
        <v>2376040</v>
      </c>
      <c r="D72" s="117" t="s">
        <v>41</v>
      </c>
      <c r="E72" s="12" t="s">
        <v>1903</v>
      </c>
      <c r="F72" s="1889"/>
      <c r="G72" s="1889"/>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1904</v>
      </c>
      <c r="C73" s="124">
        <f ca="1">C74+C78</f>
        <v>11880</v>
      </c>
      <c r="D73" s="117" t="s">
        <v>41</v>
      </c>
      <c r="E73" s="1888"/>
      <c r="F73" s="1889"/>
      <c r="G73" s="1889"/>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1905</v>
      </c>
      <c r="C74" s="117">
        <f>ROUND(IF(G77="2016年5月1日后购买",C75/(1+'数据-取费表'!F30)+C76+C77,C75+C76+C77),0)</f>
        <v>0</v>
      </c>
      <c r="D74" s="117" t="s">
        <v>41</v>
      </c>
      <c r="E74" s="1888"/>
      <c r="F74" s="1889"/>
      <c r="G74" s="1889"/>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1906</v>
      </c>
      <c r="C75" s="137"/>
      <c r="D75" s="117" t="s">
        <v>41</v>
      </c>
      <c r="E75" s="138" t="s">
        <v>1907</v>
      </c>
      <c r="F75" s="2283" t="s">
        <v>1908</v>
      </c>
      <c r="G75" s="138" t="s">
        <v>1909</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1910</v>
      </c>
      <c r="C76" s="117">
        <f>IF(F75="购房发票",ROUND(C75*H75*D76,0),0)</f>
        <v>0</v>
      </c>
      <c r="D76" s="141">
        <v>0.05</v>
      </c>
      <c r="E76" s="2924" t="s">
        <v>1911</v>
      </c>
      <c r="F76" s="2925"/>
      <c r="G76" s="2925"/>
      <c r="H76" s="292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4" t="s">
        <v>1914</v>
      </c>
      <c r="H77" s="1890"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1915</v>
      </c>
      <c r="C78" s="144">
        <f ca="1">ROUND(D45*D78/(1+'数据-取费表'!F30),0)</f>
        <v>11880</v>
      </c>
      <c r="D78" s="145">
        <f>'数据-取费表'!E31</f>
        <v>5.000000000000001E-3</v>
      </c>
      <c r="E78" s="2855" t="s">
        <v>1916</v>
      </c>
      <c r="F78" s="2856"/>
      <c r="G78" s="2856"/>
      <c r="H78" s="2876"/>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1917</v>
      </c>
      <c r="C79" s="124">
        <f ca="1">C72-C73</f>
        <v>2364160</v>
      </c>
      <c r="D79" s="117" t="s">
        <v>41</v>
      </c>
      <c r="E79" s="1888"/>
      <c r="F79" s="1889"/>
      <c r="G79" s="1889"/>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1918</v>
      </c>
      <c r="C80" s="147">
        <f ca="1">IF(C79&lt;=0,0,C79/C73)</f>
        <v>199.003367003367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1919</v>
      </c>
      <c r="C81" s="149">
        <f ca="1">ROUND(IF(C79&lt;=0,0,IF(C80&gt;=200%,C79*60%-C73*35%,IF(C80&gt;=100%,C79*50%-C73*15%,IF(C80&gt;=50%,C79*40%-C73*5%,IF(C80&lt;50%,C79*30%,0))))),0)</f>
        <v>1414338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8" t="s">
        <v>1920</v>
      </c>
      <c r="B83" s="2889"/>
      <c r="C83" s="2889"/>
      <c r="D83" s="2889"/>
      <c r="E83" s="2889"/>
      <c r="F83" s="2889"/>
      <c r="G83" s="2889"/>
      <c r="H83" s="2889"/>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6" t="s">
        <v>1881</v>
      </c>
      <c r="B84" s="2887"/>
      <c r="C84" s="1885"/>
      <c r="D84" s="1885" t="s">
        <v>1882</v>
      </c>
      <c r="E84" s="130" t="s">
        <v>1883</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1902</v>
      </c>
      <c r="C85" s="124">
        <f ca="1">ROUND(D45/(1+'数据-取费表'!F30),0)</f>
        <v>2376040</v>
      </c>
      <c r="D85" s="117" t="s">
        <v>41</v>
      </c>
      <c r="E85" s="1888" t="s">
        <v>1903</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1904</v>
      </c>
      <c r="C86" s="124">
        <f ca="1">IF(H88="仅含出让金",C87+C90+C91+C92+C93+C94,C87+C91+C92+C93+C94)</f>
        <v>11880</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1921</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1922</v>
      </c>
      <c r="C88" s="157"/>
      <c r="D88" s="145"/>
      <c r="E88" s="158" t="s">
        <v>1923</v>
      </c>
      <c r="F88" s="1882"/>
      <c r="G88" s="159" t="s">
        <v>1924</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1912</v>
      </c>
      <c r="C89" s="144">
        <f>ROUND(C88*D89,0)</f>
        <v>0</v>
      </c>
      <c r="D89" s="145">
        <f>'数据-取费表'!E36+'数据-取费表'!E37</f>
        <v>3.0499999999999999E-2</v>
      </c>
      <c r="E89" s="158" t="s">
        <v>1925</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1926</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1927</v>
      </c>
      <c r="C91" s="144">
        <f>IF(H91="——",成本法!C33,I91)</f>
        <v>0</v>
      </c>
      <c r="D91" s="145"/>
      <c r="E91" s="2855" t="s">
        <v>1928</v>
      </c>
      <c r="F91" s="2856"/>
      <c r="G91" s="2856"/>
      <c r="H91" s="2287" t="s">
        <v>1929</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1930</v>
      </c>
      <c r="C92" s="144">
        <f>ROUND((C87+C90+C91)*D92,0)</f>
        <v>0</v>
      </c>
      <c r="D92" s="145">
        <v>0.1</v>
      </c>
      <c r="E92" s="2855" t="s">
        <v>1931</v>
      </c>
      <c r="F92" s="2856"/>
      <c r="G92" s="2856"/>
      <c r="H92" s="2876"/>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1915</v>
      </c>
      <c r="C93" s="144">
        <f ca="1">ROUND(D45*D93/(1+'数据-取费表'!F30),0)</f>
        <v>11880</v>
      </c>
      <c r="D93" s="145">
        <f>'数据-取费表'!E31</f>
        <v>5.000000000000001E-3</v>
      </c>
      <c r="E93" s="2855" t="s">
        <v>1916</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1932</v>
      </c>
      <c r="C94" s="144">
        <f>ROUND((C87+C90+C91)*D94,0)</f>
        <v>0</v>
      </c>
      <c r="D94" s="145">
        <v>0.2</v>
      </c>
      <c r="E94" s="2855" t="s">
        <v>1933</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1917</v>
      </c>
      <c r="C95" s="124">
        <f ca="1">ROUND(C85-C86,0)</f>
        <v>2364160</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1918</v>
      </c>
      <c r="C96" s="147">
        <f ca="1">IF(C95&lt;=0,0,C95/C86)</f>
        <v>199.003367003367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1919</v>
      </c>
      <c r="C97" s="149">
        <f ca="1">ROUND(IF(C95&lt;=0,0,IF(C96&gt;=200%,C95*60%-C86*35%,IF(C96&gt;=100%,C95*50%-C86*15%,IF(C96&gt;=50%,C95*40%-C86*5%,IF(C96&lt;50%,C95*30%,0))))),0)</f>
        <v>1414338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1934</v>
      </c>
      <c r="B98" s="2194"/>
      <c r="C98" s="2194"/>
      <c r="D98" s="2194"/>
      <c r="E98" s="1021"/>
      <c r="F98" s="1021"/>
      <c r="G98" s="1021"/>
      <c r="H98" s="2247"/>
      <c r="I98" s="2194"/>
    </row>
    <row r="99" spans="1:35" ht="15.75">
      <c r="A99" s="2873" t="s">
        <v>1935</v>
      </c>
      <c r="B99" s="2874"/>
      <c r="C99" s="2874"/>
      <c r="D99" s="2875"/>
      <c r="E99" s="2194"/>
      <c r="F99" s="2883" t="s">
        <v>1936</v>
      </c>
      <c r="G99" s="2884"/>
      <c r="H99" s="2884"/>
      <c r="I99" s="2885"/>
    </row>
    <row r="100" spans="1:35" ht="15.75">
      <c r="A100" s="2890" t="s">
        <v>1937</v>
      </c>
      <c r="B100" s="2891"/>
      <c r="C100" s="720" t="str">
        <f>C4</f>
        <v>比较法-住宅</v>
      </c>
      <c r="D100" s="721" t="str">
        <f>D4</f>
        <v>收益法</v>
      </c>
      <c r="E100" s="2194"/>
      <c r="F100" s="2892" t="s">
        <v>1938</v>
      </c>
      <c r="G100" s="2894"/>
      <c r="H100" s="2892" t="s">
        <v>1939</v>
      </c>
      <c r="I100" s="2893"/>
    </row>
    <row r="101" spans="1:35" ht="15.75">
      <c r="A101" s="2912" t="s">
        <v>1940</v>
      </c>
      <c r="B101" s="2289" t="str">
        <f>IF(H19="元","总价（元）","总价（万元）")</f>
        <v>总价（元）</v>
      </c>
      <c r="C101" s="720">
        <f ca="1">C19</f>
        <v>2717518</v>
      </c>
      <c r="D101" s="721">
        <f ca="1">D19</f>
        <v>1604266</v>
      </c>
      <c r="E101" s="2194"/>
      <c r="F101" s="2892" t="str">
        <f>项目基本情况!I1</f>
        <v>北京市房地产</v>
      </c>
      <c r="G101" s="2894"/>
      <c r="H101" s="2953">
        <f>项目基本情况!C12</f>
        <v>77.75</v>
      </c>
      <c r="I101" s="2893"/>
    </row>
    <row r="102" spans="1:35" ht="15.75">
      <c r="A102" s="2912"/>
      <c r="B102" s="2289" t="s">
        <v>1941</v>
      </c>
      <c r="C102" s="722">
        <f ca="1">C20</f>
        <v>34952</v>
      </c>
      <c r="D102" s="723">
        <f ca="1">D20</f>
        <v>20634</v>
      </c>
      <c r="E102" s="2194"/>
      <c r="F102" s="2967" t="s">
        <v>1942</v>
      </c>
      <c r="G102" s="2968"/>
      <c r="H102" s="2290" t="str">
        <f>C106</f>
        <v>总价（元）</v>
      </c>
      <c r="I102" s="1862">
        <f ca="1">H121</f>
        <v>2494842</v>
      </c>
    </row>
    <row r="103" spans="1:35" ht="15">
      <c r="A103" s="2912" t="s">
        <v>1943</v>
      </c>
      <c r="B103" s="2291" t="str">
        <f>B101</f>
        <v>总价（元）</v>
      </c>
      <c r="C103" s="724">
        <f ca="1">H121</f>
        <v>2494842</v>
      </c>
      <c r="D103" s="725"/>
      <c r="E103" s="2194"/>
      <c r="F103" s="2967"/>
      <c r="G103" s="2968"/>
      <c r="H103" s="2290" t="s">
        <v>1941</v>
      </c>
      <c r="I103" s="1049">
        <f ca="1">I121</f>
        <v>32088</v>
      </c>
    </row>
    <row r="104" spans="1:35" ht="16.5" thickBot="1">
      <c r="A104" s="2913"/>
      <c r="B104" s="2292" t="s">
        <v>1941</v>
      </c>
      <c r="C104" s="726">
        <f ca="1">I121</f>
        <v>32088</v>
      </c>
      <c r="D104" s="727"/>
      <c r="E104" s="2194"/>
      <c r="F104" s="2879"/>
      <c r="G104" s="2880"/>
      <c r="H104" s="2914"/>
      <c r="I104" s="2915"/>
    </row>
    <row r="105" spans="1:35" ht="15.75">
      <c r="A105" s="2873" t="s">
        <v>1944</v>
      </c>
      <c r="B105" s="2874"/>
      <c r="C105" s="2874"/>
      <c r="D105" s="2875"/>
      <c r="E105" s="2194"/>
      <c r="F105" s="2918" t="s">
        <v>1945</v>
      </c>
      <c r="G105" s="2919"/>
      <c r="H105" s="2293" t="str">
        <f>C108</f>
        <v>总额（元）</v>
      </c>
      <c r="I105" s="1862">
        <f>SUMIF(I106:I108,"&lt;9E307")</f>
        <v>0</v>
      </c>
    </row>
    <row r="106" spans="1:35" ht="15">
      <c r="A106" s="2920" t="s">
        <v>1946</v>
      </c>
      <c r="B106" s="2921"/>
      <c r="C106" s="2290" t="str">
        <f>B101</f>
        <v>总价（元）</v>
      </c>
      <c r="D106" s="1050">
        <f ca="1">H121</f>
        <v>2494842</v>
      </c>
      <c r="E106" s="2194"/>
      <c r="F106" s="2881" t="s">
        <v>1947</v>
      </c>
      <c r="G106" s="2882"/>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20"/>
      <c r="B107" s="2921"/>
      <c r="C107" s="2290" t="s">
        <v>1941</v>
      </c>
      <c r="D107" s="1051">
        <f ca="1">I121</f>
        <v>32088</v>
      </c>
      <c r="E107" s="2194"/>
      <c r="F107" s="2881" t="s">
        <v>1948</v>
      </c>
      <c r="G107" s="2882"/>
      <c r="H107" s="2293" t="str">
        <f>C110</f>
        <v>总额（元）</v>
      </c>
      <c r="I107" s="1049">
        <f>C37</f>
        <v>0</v>
      </c>
      <c r="K107" s="2294"/>
    </row>
    <row r="108" spans="1:35" ht="15">
      <c r="A108" s="2963" t="s">
        <v>1949</v>
      </c>
      <c r="B108" s="2964"/>
      <c r="C108" s="2293" t="str">
        <f>IF(H19="元","总额（元）","总额（万元）")</f>
        <v>总额（元）</v>
      </c>
      <c r="D108" s="1050">
        <f>IF(D36="正常操作",I106+I107+I108,I107+I108)</f>
        <v>0</v>
      </c>
      <c r="E108" s="2194"/>
      <c r="F108" s="2881" t="s">
        <v>1950</v>
      </c>
      <c r="G108" s="2882"/>
      <c r="H108" s="2293" t="str">
        <f>C111</f>
        <v>总额（元）</v>
      </c>
      <c r="I108" s="1049">
        <f>C38</f>
        <v>0</v>
      </c>
    </row>
    <row r="109" spans="1:35" ht="15.75">
      <c r="A109" s="2881" t="s">
        <v>1947</v>
      </c>
      <c r="B109" s="2882"/>
      <c r="C109" s="2293" t="str">
        <f>C108</f>
        <v>总额（元）</v>
      </c>
      <c r="D109" s="637">
        <f>IF(D36="同一抵押权人同一抵押物续贷",C36&amp;"（未扣减，详见特别提示）",C36)</f>
        <v>0</v>
      </c>
      <c r="E109" s="2194"/>
      <c r="F109" s="2879"/>
      <c r="G109" s="2880"/>
      <c r="H109" s="2916"/>
      <c r="I109" s="2917"/>
    </row>
    <row r="110" spans="1:35" ht="28.5" customHeight="1">
      <c r="A110" s="2881" t="s">
        <v>1948</v>
      </c>
      <c r="B110" s="2882"/>
      <c r="C110" s="2293" t="str">
        <f>C108</f>
        <v>总额（元）</v>
      </c>
      <c r="D110" s="637">
        <f>C37</f>
        <v>0</v>
      </c>
      <c r="E110" s="2194"/>
      <c r="F110" s="2861" t="str">
        <f>IF(项目基本情况!F5="已注销","——","3.房地产抵押价值")</f>
        <v>3.房地产抵押价值</v>
      </c>
      <c r="G110" s="2862"/>
      <c r="H110" s="2295" t="str">
        <f>C112</f>
        <v>总价（元）</v>
      </c>
      <c r="I110" s="1863">
        <f ca="1">IF(F110="——","——",I102-I105)</f>
        <v>2494842</v>
      </c>
    </row>
    <row r="111" spans="1:35" ht="15">
      <c r="A111" s="2881" t="s">
        <v>1950</v>
      </c>
      <c r="B111" s="2882"/>
      <c r="C111" s="2293" t="str">
        <f>C108</f>
        <v>总额（元）</v>
      </c>
      <c r="D111" s="637">
        <f>C38</f>
        <v>0</v>
      </c>
      <c r="E111" s="2194"/>
      <c r="F111" s="2863"/>
      <c r="G111" s="2864"/>
      <c r="H111" s="2290" t="s">
        <v>1941</v>
      </c>
      <c r="I111" s="2296">
        <f ca="1">D113</f>
        <v>32088</v>
      </c>
    </row>
    <row r="112" spans="1:35" ht="26.25" customHeight="1">
      <c r="A112" s="2920" t="str">
        <f>IF(项目基本情况!F5="已注销","——","3.房地产抵押价值")</f>
        <v>3.房地产抵押价值</v>
      </c>
      <c r="B112" s="2921"/>
      <c r="C112" s="2290" t="str">
        <f>B101</f>
        <v>总价（元）</v>
      </c>
      <c r="D112" s="1050">
        <f ca="1">IF(A112="——","——",D106-D108)</f>
        <v>2494842</v>
      </c>
      <c r="E112" s="2194"/>
      <c r="F112" s="2861" t="str">
        <f>IF(项目基本情况!F5="已注销及未注销","4.抵押担保权已注销时的房地产抵押价值",IF(项目基本情况!F5="已注销","3.抵押担保权已注销时的房地产抵押价值","——"))</f>
        <v>——</v>
      </c>
      <c r="G112" s="2862"/>
      <c r="H112" s="2295" t="str">
        <f>C114</f>
        <v>总价（元）</v>
      </c>
      <c r="I112" s="1863" t="str">
        <f>IF(F112="——","——",I102-I107-I108)</f>
        <v>——</v>
      </c>
    </row>
    <row r="113" spans="1:15" ht="15">
      <c r="A113" s="2920"/>
      <c r="B113" s="2921"/>
      <c r="C113" s="2290" t="s">
        <v>1941</v>
      </c>
      <c r="D113" s="1051">
        <f ca="1">ROUND(IF(D112=D106,D107,IF(H19="元",D112/项目基本情况!C12,D112*10000/项目基本情况!C12)),0)</f>
        <v>32088</v>
      </c>
      <c r="E113" s="2194"/>
      <c r="F113" s="2863"/>
      <c r="G113" s="2864"/>
      <c r="H113" s="2290" t="s">
        <v>1941</v>
      </c>
      <c r="I113" s="2297" t="str">
        <f>D115</f>
        <v>——</v>
      </c>
    </row>
    <row r="114" spans="1:15" ht="15.75">
      <c r="A114" s="2920" t="str">
        <f>IF(项目基本情况!F5="已注销及未注销","4.抵押担保权已注销时的房地产抵押价值",IF(项目基本情况!F5="已注销","3.抵押担保权已注销时的房地产抵押价值","——"))</f>
        <v>——</v>
      </c>
      <c r="B114" s="2921"/>
      <c r="C114" s="2290" t="str">
        <f>B101</f>
        <v>总价（元）</v>
      </c>
      <c r="D114" s="1050" t="str">
        <f>IF(A114="——","——",D106-D110-D111)</f>
        <v>——</v>
      </c>
      <c r="E114" s="2194"/>
      <c r="F114" s="2861" t="str">
        <f>IF(项目基本情况!G5="抵押净值",IF(OR(项目基本情况!F5="已注销",项目基本情况!F5="房地产抵押价值"),"4.抵押净值","5.抵押净值"),"——")</f>
        <v>——</v>
      </c>
      <c r="G114" s="2862"/>
      <c r="H114" s="2290" t="str">
        <f>C116</f>
        <v>总价（元）</v>
      </c>
      <c r="I114" s="1862" t="str">
        <f>IF(F114="——","——",N59)</f>
        <v>——</v>
      </c>
    </row>
    <row r="115" spans="1:15" ht="15.75" thickBot="1">
      <c r="A115" s="2920"/>
      <c r="B115" s="2921"/>
      <c r="C115" s="2290" t="s">
        <v>1941</v>
      </c>
      <c r="D115" s="1051" t="str">
        <f>IF(A114="——","——",ROUND(IF(D114=D106,D107,IF(H19="元",D114/项目基本情况!C12,D114*10000/项目基本情况!C12)),0))</f>
        <v>——</v>
      </c>
      <c r="E115" s="2194"/>
      <c r="F115" s="2954"/>
      <c r="G115" s="2955"/>
      <c r="H115" s="2298" t="s">
        <v>1941</v>
      </c>
      <c r="I115" s="1864" t="str">
        <f ca="1">D117</f>
        <v>——</v>
      </c>
    </row>
    <row r="116" spans="1:15" ht="15.75">
      <c r="A116" s="2920" t="str">
        <f>IF(项目基本情况!G5="抵押净值",IF(OR(项目基本情况!F5="已注销",项目基本情况!F5="房地产抵押价值"),"4.抵押净值","5.抵押净值"),"——")</f>
        <v>——</v>
      </c>
      <c r="B116" s="2921"/>
      <c r="C116" s="2290" t="str">
        <f>B101</f>
        <v>总价（元）</v>
      </c>
      <c r="D116" s="1050" t="str">
        <f>IF(A116="——","——",N59)</f>
        <v>——</v>
      </c>
      <c r="E116" s="2194"/>
      <c r="F116" s="2857"/>
      <c r="G116" s="2857"/>
      <c r="H116" s="2899"/>
      <c r="I116" s="2899"/>
      <c r="N116" s="55"/>
      <c r="O116" s="55"/>
    </row>
    <row r="117" spans="1:15" ht="15.75" thickBot="1">
      <c r="A117" s="2961"/>
      <c r="B117" s="2962"/>
      <c r="C117" s="2298" t="s">
        <v>1941</v>
      </c>
      <c r="D117" s="1052" t="str">
        <f ca="1">IF(D116=D112,D113,IF(A116="——","——",N61))</f>
        <v>——</v>
      </c>
      <c r="E117" s="2194"/>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1951</v>
      </c>
      <c r="B118" s="2901"/>
      <c r="C118" s="2901"/>
      <c r="D118" s="2901"/>
      <c r="E118" s="2901"/>
      <c r="F118" s="2901"/>
      <c r="G118" s="2901"/>
      <c r="H118" s="2901"/>
      <c r="I118" s="2901"/>
    </row>
    <row r="119" spans="1:15" ht="14.25">
      <c r="A119" s="2872" t="s">
        <v>1952</v>
      </c>
      <c r="B119" s="2870" t="s">
        <v>1953</v>
      </c>
      <c r="C119" s="2870" t="s">
        <v>1954</v>
      </c>
      <c r="D119" s="2877" t="s">
        <v>1955</v>
      </c>
      <c r="E119" s="2878"/>
      <c r="F119" s="2868" t="s">
        <v>1813</v>
      </c>
      <c r="G119" s="2868"/>
      <c r="H119" s="2868" t="s">
        <v>1956</v>
      </c>
      <c r="I119" s="2869"/>
    </row>
    <row r="120" spans="1:15" ht="14.25">
      <c r="A120" s="2872"/>
      <c r="B120" s="2871"/>
      <c r="C120" s="2871"/>
      <c r="D120" s="1887" t="s">
        <v>1957</v>
      </c>
      <c r="E120" s="1887" t="s">
        <v>1958</v>
      </c>
      <c r="F120" s="1887" t="s">
        <v>1957</v>
      </c>
      <c r="G120" s="1887" t="s">
        <v>1959</v>
      </c>
      <c r="H120" s="1887" t="s">
        <v>1957</v>
      </c>
      <c r="I120" s="637" t="s">
        <v>1959</v>
      </c>
    </row>
    <row r="121" spans="1:15" ht="14.25">
      <c r="A121" s="2180" t="str">
        <f>项目基本情况!I1</f>
        <v>北京市房地产</v>
      </c>
      <c r="B121" s="1887">
        <f>项目基本情况!C12</f>
        <v>77.75</v>
      </c>
      <c r="C121" s="1887">
        <f>项目基本情况!C13</f>
        <v>0</v>
      </c>
      <c r="D121" s="1887">
        <f ca="1">ROUND(IF(B32="总价",C34,IF('数据-取费表'!B3="万元",E121*B121/10000,E121*B121)),0)</f>
        <v>2008360</v>
      </c>
      <c r="E121" s="1887">
        <f ca="1">ROUND(IF(B32="楼面单价",C34,IF(H19="元",D121/B121,D121*10000/B121)),0)</f>
        <v>25831</v>
      </c>
      <c r="F121" s="1887">
        <f ca="1">ROUND(IF(B32="总价",C35,IF('数据-取费表'!B3="万元",G121*B121/10000,G121*B121)),0)</f>
        <v>486482</v>
      </c>
      <c r="G121" s="1887">
        <f ca="1">ROUND(IF(B32="楼面单价",C35,IF(H19="元",F121/B121,F121*10000/B121)),0)</f>
        <v>6257</v>
      </c>
      <c r="H121" s="1887">
        <f ca="1">ROUND(IF(B32="总价",C32,IF('数据-取费表'!B3="万元",I121*B121/10000,I121*B121)),0)</f>
        <v>2494842</v>
      </c>
      <c r="I121" s="637">
        <f ca="1">ROUND(IF(B32="楼面单价",C32,IF(H19="元",H121/B121,H121*10000/B121)),0)</f>
        <v>32088</v>
      </c>
    </row>
    <row r="122" spans="1:15" ht="14.25">
      <c r="A122" s="2872" t="s">
        <v>1960</v>
      </c>
      <c r="B122" s="2868"/>
      <c r="C122" s="2868"/>
      <c r="D122" s="2904" t="str">
        <f ca="1">IF(H19="元",NUMBERSTRING(INT(D121),2)&amp;"元整",NUMBERSTRING(INT(D121*10000),2)&amp;"元整")</f>
        <v>贰佰万捌仟叁佰陆拾元整</v>
      </c>
      <c r="E122" s="2905"/>
      <c r="F122" s="2904" t="str">
        <f ca="1">IF(H19="元",NUMBERSTRING(INT(F121),2)&amp;"元整",NUMBERSTRING(INT(F121*10000),2)&amp;"元整")</f>
        <v>肆拾捌万陆仟肆佰捌拾贰元整</v>
      </c>
      <c r="G122" s="2905"/>
      <c r="H122" s="2904" t="str">
        <f ca="1">IF(H19="元",NUMBERSTRING(INT(H121),2)&amp;"元整",NUMBERSTRING(INT(H121*10000),2)&amp;"元整")</f>
        <v>贰佰肆拾玖万肆仟捌佰肆拾贰元整</v>
      </c>
      <c r="I122" s="2969"/>
    </row>
    <row r="123" spans="1:15" ht="15">
      <c r="A123" s="2906" t="str">
        <f>IF(项目基本情况!D5="房地产市场价值","——",MID(A108,3,LEN(A108)-2))</f>
        <v>——</v>
      </c>
      <c r="B123" s="2907"/>
      <c r="C123" s="2908"/>
      <c r="D123" s="2897">
        <f>I105</f>
        <v>0</v>
      </c>
      <c r="E123" s="2907"/>
      <c r="F123" s="2907"/>
      <c r="G123" s="2907"/>
      <c r="H123" s="2907"/>
      <c r="I123" s="2956"/>
    </row>
    <row r="124" spans="1:15" ht="14.25">
      <c r="A124" s="2909" t="s">
        <v>1960</v>
      </c>
      <c r="B124" s="2910"/>
      <c r="C124" s="2911"/>
      <c r="D124" s="2957">
        <f>H109</f>
        <v>0</v>
      </c>
      <c r="E124" s="2958"/>
      <c r="F124" s="2958"/>
      <c r="G124" s="2958"/>
      <c r="H124" s="2958"/>
      <c r="I124" s="2959"/>
    </row>
    <row r="125" spans="1:15" ht="15">
      <c r="A125" s="2895" t="str">
        <f>IF(项目基本情况!D5="房地产市场价值","——",MID(A112,3,LEN(A112)-2))</f>
        <v>——</v>
      </c>
      <c r="B125" s="2896"/>
      <c r="C125" s="2896"/>
      <c r="D125" s="2897">
        <f ca="1">I110</f>
        <v>2494842</v>
      </c>
      <c r="E125" s="2907"/>
      <c r="F125" s="2907"/>
      <c r="G125" s="2907"/>
      <c r="H125" s="2907"/>
      <c r="I125" s="2956"/>
    </row>
    <row r="126" spans="1:15" ht="14.25">
      <c r="A126" s="2872" t="s">
        <v>1960</v>
      </c>
      <c r="B126" s="2868"/>
      <c r="C126" s="2868"/>
      <c r="D126" s="2957">
        <f ca="1">I111</f>
        <v>32088</v>
      </c>
      <c r="E126" s="2958"/>
      <c r="F126" s="2958"/>
      <c r="G126" s="2958"/>
      <c r="H126" s="2958"/>
      <c r="I126" s="2959"/>
    </row>
    <row r="127" spans="1:15" ht="15.75" thickBot="1">
      <c r="A127" s="2895" t="str">
        <f>IF(项目基本情况!D5="房地产市场价值","——",MID(A114,3,LEN(A114)-2))</f>
        <v>——</v>
      </c>
      <c r="B127" s="2896"/>
      <c r="C127" s="2896"/>
      <c r="D127" s="2852" t="str">
        <f>I112</f>
        <v>——</v>
      </c>
      <c r="E127" s="2853"/>
      <c r="F127" s="2853"/>
      <c r="G127" s="2853"/>
      <c r="H127" s="2853"/>
      <c r="I127" s="2854"/>
    </row>
    <row r="128" spans="1:15" ht="15.75" thickTop="1" thickBot="1">
      <c r="A128" s="2872" t="s">
        <v>1960</v>
      </c>
      <c r="B128" s="2868"/>
      <c r="C128" s="2952"/>
      <c r="D128" s="2898" t="str">
        <f>I113</f>
        <v>——</v>
      </c>
      <c r="E128" s="2898"/>
      <c r="F128" s="2898"/>
      <c r="G128" s="2898"/>
      <c r="H128" s="2898"/>
      <c r="I128" s="2898"/>
    </row>
    <row r="129" spans="1:9" ht="16.5" thickTop="1" thickBot="1">
      <c r="A129" s="2895" t="str">
        <f>IF(项目基本情况!D5="房地产市场价值","——",MID(F114,3,LEN(F114)-2))</f>
        <v>——</v>
      </c>
      <c r="B129" s="2896"/>
      <c r="C129" s="2897"/>
      <c r="D129" s="2960" t="str">
        <f>I114</f>
        <v>——</v>
      </c>
      <c r="E129" s="2960"/>
      <c r="F129" s="2960"/>
      <c r="G129" s="2960"/>
      <c r="H129" s="2960"/>
      <c r="I129" s="2960"/>
    </row>
    <row r="130" spans="1:9" ht="15.75" thickTop="1" thickBot="1">
      <c r="A130" s="2965" t="s">
        <v>1960</v>
      </c>
      <c r="B130" s="2966"/>
      <c r="C130" s="2966"/>
      <c r="D130" s="2970">
        <f>H116</f>
        <v>0</v>
      </c>
      <c r="E130" s="2971"/>
      <c r="F130" s="2971"/>
      <c r="G130" s="2971"/>
      <c r="H130" s="2971"/>
      <c r="I130" s="2972"/>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9" t="s">
        <v>1961</v>
      </c>
      <c r="B133" s="2300"/>
      <c r="C133" s="2301" t="s">
        <v>1962</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1963</v>
      </c>
      <c r="G139" s="2313"/>
      <c r="H139" s="2313"/>
      <c r="I139" s="2314" t="s">
        <v>1964</v>
      </c>
    </row>
    <row r="140" spans="1:9" ht="21.75" customHeight="1">
      <c r="A140" s="798"/>
      <c r="B140" s="2315"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1966</v>
      </c>
    </row>
    <row r="143" spans="1:9" ht="21.75" customHeight="1">
      <c r="A143" s="798"/>
      <c r="B143" s="2315" t="s">
        <v>1967</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1966</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1968</v>
      </c>
      <c r="B1" s="2194"/>
      <c r="C1" s="2194"/>
      <c r="D1" s="2194"/>
      <c r="E1" s="2194"/>
      <c r="F1" s="2194"/>
      <c r="G1" s="2194"/>
      <c r="H1" s="2194"/>
      <c r="I1" s="2194"/>
    </row>
    <row r="2" spans="1:12" ht="21.75" customHeight="1">
      <c r="A2" s="2974" t="s">
        <v>1969</v>
      </c>
      <c r="B2" s="2974"/>
      <c r="C2" s="2974"/>
      <c r="D2" s="2974"/>
      <c r="E2" s="2974"/>
      <c r="F2" s="2974"/>
      <c r="G2" s="2974"/>
      <c r="H2" s="2974"/>
      <c r="I2" s="2974"/>
    </row>
    <row r="3" spans="1:12" ht="12.75">
      <c r="A3" s="2928" t="s">
        <v>1773</v>
      </c>
      <c r="B3" s="2929"/>
      <c r="C3" s="2929"/>
      <c r="D3" s="2929"/>
      <c r="E3" s="2929"/>
      <c r="F3" s="2929"/>
      <c r="G3" s="2929"/>
      <c r="H3" s="2929"/>
      <c r="I3" s="2929"/>
    </row>
    <row r="4" spans="1:12" ht="14.25">
      <c r="A4" s="2196" t="s">
        <v>1774</v>
      </c>
      <c r="B4" s="2197" t="s">
        <v>1775</v>
      </c>
      <c r="C4" s="2198"/>
      <c r="D4" s="2198"/>
      <c r="E4" s="2933" t="s">
        <v>1970</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1777</v>
      </c>
      <c r="B5" s="2868">
        <v>25</v>
      </c>
      <c r="C5" s="2930"/>
      <c r="D5" s="2927"/>
      <c r="E5" s="56" t="s">
        <v>1778</v>
      </c>
      <c r="F5" s="2199"/>
      <c r="G5" s="2199"/>
      <c r="H5" s="2199"/>
      <c r="I5" s="2200"/>
    </row>
    <row r="6" spans="1:12" ht="12.75">
      <c r="A6" s="2923"/>
      <c r="B6" s="2868"/>
      <c r="C6" s="2931"/>
      <c r="D6" s="2927"/>
      <c r="E6" s="56" t="s">
        <v>1779</v>
      </c>
      <c r="F6" s="2199"/>
      <c r="G6" s="2199"/>
      <c r="H6" s="2199"/>
      <c r="I6" s="2200"/>
    </row>
    <row r="7" spans="1:12" ht="12.75">
      <c r="A7" s="2923"/>
      <c r="B7" s="2868"/>
      <c r="C7" s="2932"/>
      <c r="D7" s="2927"/>
      <c r="E7" s="56" t="s">
        <v>1780</v>
      </c>
      <c r="F7" s="2199"/>
      <c r="G7" s="2199"/>
      <c r="H7" s="2199"/>
      <c r="I7" s="2200"/>
    </row>
    <row r="8" spans="1:12" ht="12.75">
      <c r="A8" s="2923" t="s">
        <v>1781</v>
      </c>
      <c r="B8" s="2868">
        <v>15</v>
      </c>
      <c r="C8" s="2930"/>
      <c r="D8" s="2927"/>
      <c r="E8" s="56" t="s">
        <v>1782</v>
      </c>
      <c r="F8" s="2199"/>
      <c r="G8" s="2199"/>
      <c r="H8" s="2199"/>
      <c r="I8" s="2200"/>
    </row>
    <row r="9" spans="1:12" ht="12.75">
      <c r="A9" s="2923"/>
      <c r="B9" s="2868"/>
      <c r="C9" s="2932"/>
      <c r="D9" s="2927"/>
      <c r="E9" s="56" t="s">
        <v>1783</v>
      </c>
      <c r="F9" s="2199"/>
      <c r="G9" s="2199"/>
      <c r="H9" s="2199"/>
      <c r="I9" s="2200"/>
    </row>
    <row r="10" spans="1:12" ht="12.75">
      <c r="A10" s="2923" t="s">
        <v>1784</v>
      </c>
      <c r="B10" s="2868">
        <v>15</v>
      </c>
      <c r="C10" s="2930"/>
      <c r="D10" s="2927"/>
      <c r="E10" s="56" t="s">
        <v>1785</v>
      </c>
      <c r="F10" s="2199"/>
      <c r="G10" s="2199"/>
      <c r="H10" s="2199"/>
      <c r="I10" s="2200"/>
    </row>
    <row r="11" spans="1:12" ht="12.75">
      <c r="A11" s="2923"/>
      <c r="B11" s="2868"/>
      <c r="C11" s="2932"/>
      <c r="D11" s="2927"/>
      <c r="E11" s="56" t="s">
        <v>1786</v>
      </c>
      <c r="F11" s="2199"/>
      <c r="G11" s="2199"/>
      <c r="H11" s="2199"/>
      <c r="I11" s="2200"/>
    </row>
    <row r="12" spans="1:12" ht="12.75">
      <c r="A12" s="2923" t="s">
        <v>1787</v>
      </c>
      <c r="B12" s="2868">
        <v>15</v>
      </c>
      <c r="C12" s="2930"/>
      <c r="D12" s="2927"/>
      <c r="E12" s="56" t="s">
        <v>1788</v>
      </c>
      <c r="F12" s="2199"/>
      <c r="G12" s="2199"/>
      <c r="H12" s="2199"/>
      <c r="I12" s="2200"/>
    </row>
    <row r="13" spans="1:12" ht="12.75">
      <c r="A13" s="2923"/>
      <c r="B13" s="2868"/>
      <c r="C13" s="2932"/>
      <c r="D13" s="2927"/>
      <c r="E13" s="56" t="s">
        <v>1789</v>
      </c>
      <c r="F13" s="2199"/>
      <c r="G13" s="2199"/>
      <c r="H13" s="2199"/>
      <c r="I13" s="2200"/>
    </row>
    <row r="14" spans="1:12" ht="12.75">
      <c r="A14" s="2923" t="s">
        <v>1790</v>
      </c>
      <c r="B14" s="2868">
        <v>30</v>
      </c>
      <c r="C14" s="2930"/>
      <c r="D14" s="2927"/>
      <c r="E14" s="56" t="s">
        <v>1791</v>
      </c>
      <c r="F14" s="2199"/>
      <c r="G14" s="2199"/>
      <c r="H14" s="2199"/>
      <c r="I14" s="2200"/>
    </row>
    <row r="15" spans="1:12" ht="12.75">
      <c r="A15" s="2923"/>
      <c r="B15" s="2868"/>
      <c r="C15" s="2931"/>
      <c r="D15" s="2927"/>
      <c r="E15" s="56" t="s">
        <v>1792</v>
      </c>
      <c r="F15" s="2199"/>
      <c r="G15" s="2199"/>
      <c r="H15" s="2199"/>
      <c r="I15" s="2200"/>
    </row>
    <row r="16" spans="1:12" ht="12.75">
      <c r="A16" s="2923"/>
      <c r="B16" s="2868"/>
      <c r="C16" s="2932"/>
      <c r="D16" s="2927"/>
      <c r="E16" s="56" t="s">
        <v>1793</v>
      </c>
      <c r="F16" s="2199"/>
      <c r="G16" s="2199"/>
      <c r="H16" s="2199"/>
      <c r="I16" s="2200"/>
    </row>
    <row r="17" spans="1:35" ht="15">
      <c r="A17" s="2201" t="s">
        <v>1794</v>
      </c>
      <c r="B17" s="2202"/>
      <c r="C17" s="57">
        <f>SUM(C5:C16)</f>
        <v>0</v>
      </c>
      <c r="D17" s="57">
        <f>SUM(D5:D16)</f>
        <v>0</v>
      </c>
      <c r="E17" s="2194"/>
      <c r="F17" s="2194"/>
      <c r="G17" s="2194"/>
      <c r="H17" s="2194"/>
      <c r="I17" s="2194"/>
    </row>
    <row r="18" spans="1:35" ht="15.75" thickBot="1">
      <c r="A18" s="2203" t="s">
        <v>1795</v>
      </c>
      <c r="B18" s="2204"/>
      <c r="C18" s="58" t="e">
        <f>ROUND(C17/SUM(C17:D17),2)</f>
        <v>#DIV/0!</v>
      </c>
      <c r="D18" s="58" t="e">
        <f>1-C18</f>
        <v>#DIV/0!</v>
      </c>
      <c r="E18" s="2194"/>
      <c r="F18" s="2194"/>
      <c r="G18" s="2194"/>
      <c r="H18" s="2194"/>
      <c r="I18" s="2194"/>
    </row>
    <row r="19" spans="1:35" ht="15">
      <c r="A19" s="2205" t="s">
        <v>1796</v>
      </c>
      <c r="B19" s="2206" t="s">
        <v>1797</v>
      </c>
      <c r="C19" s="59" t="e">
        <f ca="1">SUMIF(INDIRECT("'"&amp;C4&amp;"'"&amp;"!A:A"),'结果表 (1修多)'!B19,INDIRECT("'"&amp;C4&amp;"'"&amp;"!B:B"))</f>
        <v>#REF!</v>
      </c>
      <c r="D19" s="60" t="e">
        <f ca="1">SUMIF(INDIRECT("'"&amp;D4&amp;"'"&amp;"!A:A"),'结果表 (1修多)'!B19,INDIRECT("'"&amp;D4&amp;"'"&amp;"!B:B"))</f>
        <v>#REF!</v>
      </c>
      <c r="E19" s="2205" t="s">
        <v>1798</v>
      </c>
      <c r="F19" s="2206" t="s">
        <v>1797</v>
      </c>
      <c r="G19" s="61" t="e">
        <f ca="1">ROUND(C19*$C$18+D19*$D$18,0)</f>
        <v>#REF!</v>
      </c>
      <c r="H19" s="2207" t="str">
        <f>'数据-取费表'!B3</f>
        <v>元</v>
      </c>
      <c r="I19" s="2194"/>
    </row>
    <row r="20" spans="1:35" ht="15">
      <c r="A20" s="2208"/>
      <c r="B20" s="2209" t="s">
        <v>1799</v>
      </c>
      <c r="C20" s="62" t="e">
        <f ca="1">SUMIF(INDIRECT("'"&amp;C4&amp;"'"&amp;"!A:A"),'结果表 (1修多)'!B20,INDIRECT("'"&amp;C4&amp;"'"&amp;"!B:B"))</f>
        <v>#REF!</v>
      </c>
      <c r="D20" s="63" t="e">
        <f ca="1">SUMIF(INDIRECT("'"&amp;D4&amp;"'"&amp;"!A:A"),'结果表 (1修多)'!B20,INDIRECT("'"&amp;D4&amp;"'"&amp;"!B:B"))</f>
        <v>#REF!</v>
      </c>
      <c r="E20" s="2208"/>
      <c r="F20" s="2209" t="s">
        <v>1799</v>
      </c>
      <c r="G20" s="64" t="e">
        <f ca="1">ROUND(C20*$C$18+D20*$D$18,0)</f>
        <v>#REF!</v>
      </c>
      <c r="H20" s="2210" t="s">
        <v>1800</v>
      </c>
      <c r="I20" s="2194"/>
    </row>
    <row r="21" spans="1:35" ht="15" customHeight="1" thickBot="1">
      <c r="A21" s="2211"/>
      <c r="B21" s="2212"/>
      <c r="C21" s="770"/>
      <c r="D21" s="771"/>
      <c r="E21" s="2211"/>
      <c r="F21" s="2212"/>
      <c r="G21" s="65"/>
      <c r="H21" s="2213"/>
      <c r="I21" s="2194"/>
    </row>
    <row r="22" spans="1:35" ht="15" thickBot="1">
      <c r="A22" s="2214" t="s">
        <v>1801</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6" t="s">
        <v>1802</v>
      </c>
      <c r="B24" s="2206" t="s">
        <v>1797</v>
      </c>
      <c r="C24" s="61">
        <f>D30</f>
        <v>0</v>
      </c>
      <c r="D24" s="993"/>
      <c r="E24" s="2194"/>
      <c r="F24" s="2194"/>
      <c r="G24" s="2194"/>
      <c r="H24" s="2194"/>
      <c r="I24" s="2194"/>
    </row>
    <row r="25" spans="1:35" ht="21.75" customHeight="1">
      <c r="A25" s="2937"/>
      <c r="B25" s="2209" t="s">
        <v>1799</v>
      </c>
      <c r="C25" s="66">
        <f>IF(B30=0,0,C30)</f>
        <v>0</v>
      </c>
      <c r="D25" s="2217"/>
      <c r="E25" s="2194"/>
      <c r="F25" s="2194"/>
      <c r="G25" s="2194"/>
      <c r="H25" s="2194"/>
      <c r="I25" s="2194"/>
    </row>
    <row r="26" spans="1:35" ht="13.5" customHeight="1">
      <c r="A26" s="2218" t="s">
        <v>1803</v>
      </c>
      <c r="B26" s="67" t="s">
        <v>1804</v>
      </c>
      <c r="C26" s="67" t="s">
        <v>1805</v>
      </c>
      <c r="D26" s="68" t="s">
        <v>1806</v>
      </c>
      <c r="E26" s="2194"/>
      <c r="F26" s="2194"/>
      <c r="G26" s="2194"/>
      <c r="H26" s="2194"/>
      <c r="I26" s="2194"/>
    </row>
    <row r="27" spans="1:35" ht="14.25">
      <c r="A27" s="2219" t="s">
        <v>1971</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7" t="s">
        <v>1972</v>
      </c>
      <c r="B30" s="2718"/>
      <c r="C30" s="2718"/>
      <c r="D30" s="2718"/>
      <c r="E30" s="2716" t="s">
        <v>2814</v>
      </c>
      <c r="F30" s="2194"/>
      <c r="G30" s="2194"/>
      <c r="H30" s="2194"/>
      <c r="I30" s="2194"/>
    </row>
    <row r="31" spans="1:35" s="2221" customFormat="1" ht="15.75" thickBot="1">
      <c r="A31" s="2984" t="s">
        <v>1973</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1974</v>
      </c>
      <c r="C32" s="1307">
        <f>典型户型修正!R27</f>
        <v>0</v>
      </c>
      <c r="D32" s="2194" t="s">
        <v>1975</v>
      </c>
      <c r="E32" s="2194"/>
      <c r="F32" s="2194"/>
      <c r="G32" s="2194"/>
      <c r="H32" s="2194"/>
      <c r="I32" s="2194"/>
    </row>
    <row r="33" spans="1:16" ht="15">
      <c r="A33" s="2321" t="s">
        <v>1976</v>
      </c>
      <c r="B33" s="2322" t="s">
        <v>1977</v>
      </c>
      <c r="C33" s="1308">
        <f>典型户型修正!B2</f>
        <v>0</v>
      </c>
      <c r="D33" s="2323" t="str">
        <f>IF('数据-取费表'!B3="万元","万元","元")</f>
        <v>元</v>
      </c>
      <c r="E33" s="2194"/>
      <c r="F33" s="2194"/>
      <c r="G33" s="2194"/>
      <c r="H33" s="2194"/>
      <c r="I33" s="2194"/>
    </row>
    <row r="34" spans="1:16" ht="15.75" thickBot="1">
      <c r="A34" s="2324"/>
      <c r="B34" s="2325" t="s">
        <v>1978</v>
      </c>
      <c r="C34" s="771" t="e">
        <f>典型户型修正!B3</f>
        <v>#DIV/0!</v>
      </c>
      <c r="D34" s="2194" t="s">
        <v>1979</v>
      </c>
      <c r="E34" s="2194"/>
      <c r="F34" s="2194"/>
      <c r="G34" s="2194"/>
      <c r="H34" s="2194"/>
      <c r="I34" s="2194"/>
    </row>
    <row r="35" spans="1:16" ht="15">
      <c r="A35" s="2326"/>
      <c r="B35" s="2327" t="s">
        <v>1980</v>
      </c>
      <c r="C35" s="1315">
        <f>IF('数据-取费表'!B3="万元",典型户型修正!V25,典型户型修正!U25)</f>
        <v>0</v>
      </c>
      <c r="D35" s="2194" t="str">
        <f>D33</f>
        <v>元</v>
      </c>
      <c r="E35" s="2194"/>
      <c r="F35" s="2194"/>
      <c r="G35" s="2194"/>
      <c r="H35" s="2194"/>
      <c r="I35" s="2194"/>
    </row>
    <row r="36" spans="1:16" ht="15.75" thickBot="1">
      <c r="A36" s="2233"/>
      <c r="B36" s="2328" t="s">
        <v>1981</v>
      </c>
      <c r="C36" s="1316">
        <f>IF('数据-取费表'!B3="万元",典型户型修正!Y25,典型户型修正!X25)</f>
        <v>0</v>
      </c>
      <c r="D36" s="2194" t="str">
        <f>D33</f>
        <v>元</v>
      </c>
      <c r="E36" s="2194"/>
      <c r="F36" s="2194"/>
      <c r="G36" s="2194"/>
      <c r="H36" s="2194"/>
      <c r="I36" s="2194"/>
    </row>
    <row r="37" spans="1:16" ht="15.75" thickBot="1">
      <c r="A37" s="2941" t="s">
        <v>1982</v>
      </c>
      <c r="B37" s="2236" t="s">
        <v>1983</v>
      </c>
      <c r="C37" s="69"/>
      <c r="D37" s="2237"/>
      <c r="E37" s="2238"/>
      <c r="F37" s="2238"/>
      <c r="G37" s="2194"/>
      <c r="H37" s="2194"/>
      <c r="I37" s="2194"/>
    </row>
    <row r="38" spans="1:16" ht="15.75" thickBot="1">
      <c r="A38" s="2942"/>
      <c r="B38" s="2239" t="s">
        <v>1984</v>
      </c>
      <c r="C38" s="71"/>
      <c r="D38" s="2204"/>
      <c r="E38" s="2204"/>
      <c r="F38" s="2238"/>
      <c r="G38" s="2204"/>
      <c r="H38" s="2204"/>
      <c r="I38" s="2204"/>
    </row>
    <row r="39" spans="1:16" ht="15.75" thickBot="1">
      <c r="A39" s="2943"/>
      <c r="B39" s="2240" t="s">
        <v>1985</v>
      </c>
      <c r="C39" s="712"/>
      <c r="D39" s="2241" t="s">
        <v>1986</v>
      </c>
      <c r="E39" s="2204"/>
      <c r="F39" s="2238"/>
      <c r="G39" s="2204"/>
      <c r="H39" s="2204"/>
      <c r="I39" s="2204"/>
    </row>
    <row r="40" spans="1:16" ht="15">
      <c r="A40" s="2208" t="s">
        <v>1987</v>
      </c>
      <c r="B40" s="2242" t="s">
        <v>1988</v>
      </c>
      <c r="C40" s="2243" t="s">
        <v>1989</v>
      </c>
      <c r="D40" s="2243" t="s">
        <v>1990</v>
      </c>
      <c r="E40" s="2244" t="s">
        <v>1991</v>
      </c>
      <c r="F40" s="2238"/>
      <c r="G40" s="2204"/>
      <c r="H40" s="2204"/>
      <c r="I40" s="2204"/>
    </row>
    <row r="41" spans="1:16" ht="14.25">
      <c r="A41" s="2245" t="s">
        <v>1992</v>
      </c>
      <c r="B41" s="74"/>
      <c r="C41" s="75"/>
      <c r="D41" s="75"/>
      <c r="E41" s="76"/>
      <c r="F41" s="2238"/>
      <c r="G41" s="2204"/>
      <c r="H41" s="2204"/>
      <c r="I41" s="2204"/>
    </row>
    <row r="42" spans="1:16" ht="14.25">
      <c r="A42" s="2245" t="s">
        <v>1993</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1994</v>
      </c>
      <c r="B45" s="2251"/>
      <c r="C45" s="2251"/>
      <c r="D45" s="2252"/>
      <c r="E45" s="2252"/>
      <c r="F45" s="2253"/>
      <c r="G45" s="2253"/>
      <c r="H45" s="2253"/>
      <c r="I45" s="2253"/>
      <c r="J45" s="2254" t="s">
        <v>1825</v>
      </c>
      <c r="K45" s="2255"/>
      <c r="L45" s="2255"/>
      <c r="M45" s="2255"/>
      <c r="N45" s="2255"/>
      <c r="O45" s="2255"/>
      <c r="P45" s="1845"/>
    </row>
    <row r="46" spans="1:16" ht="14.25" customHeight="1" thickBot="1">
      <c r="A46" s="2946" t="s">
        <v>1995</v>
      </c>
      <c r="B46" s="2947"/>
      <c r="C46" s="2948"/>
      <c r="D46" s="80">
        <f>ROUND(I103*F46,0)</f>
        <v>0</v>
      </c>
      <c r="E46" s="81" t="s">
        <v>1996</v>
      </c>
      <c r="F46" s="82">
        <v>1</v>
      </c>
      <c r="G46" s="83" t="s">
        <v>1997</v>
      </c>
      <c r="H46" s="2194"/>
      <c r="I46" s="2194"/>
      <c r="J46" s="2858" t="s">
        <v>1829</v>
      </c>
      <c r="K46" s="2858"/>
      <c r="L46" s="2858"/>
      <c r="M46" s="2858"/>
      <c r="N46" s="2858"/>
      <c r="O46" s="2858"/>
      <c r="P46" s="1845"/>
    </row>
    <row r="47" spans="1:16" ht="14.25" customHeight="1">
      <c r="A47" s="2938" t="s">
        <v>1830</v>
      </c>
      <c r="B47" s="2939"/>
      <c r="C47" s="2939"/>
      <c r="D47" s="2939"/>
      <c r="E47" s="2939"/>
      <c r="F47" s="2939"/>
      <c r="G47" s="2940"/>
      <c r="H47" s="2256"/>
      <c r="I47" s="1143"/>
      <c r="J47" s="1883">
        <v>1</v>
      </c>
      <c r="K47" s="2858" t="s">
        <v>1831</v>
      </c>
      <c r="L47" s="2858"/>
      <c r="M47" s="2973"/>
      <c r="N47" s="2973"/>
      <c r="O47" s="2973"/>
      <c r="P47" s="1845"/>
    </row>
    <row r="48" spans="1:16" ht="12" customHeight="1">
      <c r="A48" s="85" t="s">
        <v>1832</v>
      </c>
      <c r="B48" s="86"/>
      <c r="C48" s="87"/>
      <c r="D48" s="88" t="s">
        <v>1833</v>
      </c>
      <c r="E48" s="14" t="s">
        <v>1834</v>
      </c>
      <c r="F48" s="89" t="s">
        <v>1835</v>
      </c>
      <c r="G48" s="90" t="s">
        <v>1836</v>
      </c>
      <c r="H48" s="2256"/>
      <c r="I48" s="1143"/>
      <c r="J48" s="1883">
        <v>2</v>
      </c>
      <c r="K48" s="2858" t="s">
        <v>1837</v>
      </c>
      <c r="L48" s="2858"/>
      <c r="M48" s="2860">
        <f>'数据-取费表'!B2</f>
        <v>43073</v>
      </c>
      <c r="N48" s="2860"/>
      <c r="O48" s="2860"/>
      <c r="P48" s="1845"/>
    </row>
    <row r="49" spans="1:16" ht="25.5">
      <c r="A49" s="2944" t="s">
        <v>1838</v>
      </c>
      <c r="B49" s="2945"/>
      <c r="C49" s="2945"/>
      <c r="D49" s="56">
        <f>IF(H49="情况1",0,IF(H49="情况2",D53,IF(H49="情况3",D54,IF(H49="情况4",D55))))</f>
        <v>0</v>
      </c>
      <c r="E49" s="1893" t="str">
        <f>IF(H49="情况4","(销售额-原购置价)×税（费）率","销售额×税（费）率")</f>
        <v>销售额×税（费）率</v>
      </c>
      <c r="F49" s="91">
        <f>IF(H49="情况1","免征",'数据-取费表'!E29)</f>
        <v>5.5000000000000007E-2</v>
      </c>
      <c r="G49" s="2257" t="s">
        <v>1839</v>
      </c>
      <c r="H49" s="2258" t="s">
        <v>1840</v>
      </c>
      <c r="I49" s="2256"/>
      <c r="J49" s="1883">
        <v>3</v>
      </c>
      <c r="K49" s="2858" t="s">
        <v>1841</v>
      </c>
      <c r="L49" s="2858"/>
      <c r="M49" s="2859">
        <f>I103</f>
        <v>0</v>
      </c>
      <c r="N49" s="2859"/>
      <c r="O49" s="2859"/>
      <c r="P49" s="1845"/>
    </row>
    <row r="50" spans="1:16" ht="25.5" customHeight="1">
      <c r="A50" s="92" t="s">
        <v>1842</v>
      </c>
      <c r="B50" s="2925" t="s">
        <v>1843</v>
      </c>
      <c r="C50" s="2925"/>
      <c r="D50" s="93">
        <v>0</v>
      </c>
      <c r="E50" s="13" t="s">
        <v>1844</v>
      </c>
      <c r="F50" s="18" t="s">
        <v>48</v>
      </c>
      <c r="G50" s="2849"/>
      <c r="H50" s="2194"/>
      <c r="I50" s="2259"/>
      <c r="J50" s="1883">
        <v>4</v>
      </c>
      <c r="K50" s="2858" t="str">
        <f>IF(项目基本情况!F5="房地产抵押价值","房地产抵押价值","抵押担保权已注销时的房地产抵押价值")</f>
        <v>抵押担保权已注销时的房地产抵押价值</v>
      </c>
      <c r="L50" s="2858"/>
      <c r="M50" s="2859" t="str">
        <f>IF(项目基本情况!E8="房地产抵押价值",I111,I113)</f>
        <v>——</v>
      </c>
      <c r="N50" s="2859"/>
      <c r="O50" s="2859"/>
      <c r="P50" s="1845"/>
    </row>
    <row r="51" spans="1:16" ht="25.5" customHeight="1">
      <c r="A51" s="94"/>
      <c r="B51" s="2925" t="s">
        <v>1845</v>
      </c>
      <c r="C51" s="2925"/>
      <c r="D51" s="95"/>
      <c r="E51" s="21"/>
      <c r="F51" s="96"/>
      <c r="G51" s="2850"/>
      <c r="H51" s="2194"/>
      <c r="I51" s="2259"/>
      <c r="J51" s="2858" t="s">
        <v>1846</v>
      </c>
      <c r="K51" s="2858"/>
      <c r="L51" s="2858"/>
      <c r="M51" s="2858"/>
      <c r="N51" s="2858"/>
      <c r="O51" s="2858"/>
      <c r="P51" s="1845"/>
    </row>
    <row r="52" spans="1:16" ht="12" customHeight="1">
      <c r="A52" s="97"/>
      <c r="B52" s="2925" t="s">
        <v>1847</v>
      </c>
      <c r="C52" s="2925"/>
      <c r="D52" s="98"/>
      <c r="E52" s="20"/>
      <c r="F52" s="96"/>
      <c r="G52" s="2851"/>
      <c r="H52" s="2194"/>
      <c r="I52" s="2259"/>
      <c r="J52" s="2260" t="s">
        <v>1848</v>
      </c>
      <c r="K52" s="2858" t="s">
        <v>1849</v>
      </c>
      <c r="L52" s="2858"/>
      <c r="M52" s="2260" t="s">
        <v>1850</v>
      </c>
      <c r="N52" s="2260" t="s">
        <v>1851</v>
      </c>
      <c r="O52" s="2260" t="s">
        <v>1852</v>
      </c>
      <c r="P52" s="1845"/>
    </row>
    <row r="53" spans="1:16" ht="24" customHeight="1">
      <c r="A53" s="99" t="s">
        <v>1853</v>
      </c>
      <c r="B53" s="2925" t="s">
        <v>1854</v>
      </c>
      <c r="C53" s="2925"/>
      <c r="D53" s="98">
        <f>ROUND(D46*'数据-取费表'!E29/(1+'数据-取费表'!F30),0)</f>
        <v>0</v>
      </c>
      <c r="E53" s="10" t="s">
        <v>1855</v>
      </c>
      <c r="F53" s="100">
        <f>'数据-取费表'!E29</f>
        <v>5.5000000000000007E-2</v>
      </c>
      <c r="G53" s="2261"/>
      <c r="H53" s="2194"/>
      <c r="I53" s="2259"/>
      <c r="J53" s="1883">
        <v>1</v>
      </c>
      <c r="K53" s="2848" t="s">
        <v>1856</v>
      </c>
      <c r="L53" s="2848"/>
      <c r="M53" s="778">
        <f>D49</f>
        <v>0</v>
      </c>
      <c r="N53" s="1883" t="str">
        <f>E49</f>
        <v>销售额×税（费）率</v>
      </c>
      <c r="O53" s="779">
        <f>F49</f>
        <v>5.5000000000000007E-2</v>
      </c>
      <c r="P53" s="1845"/>
    </row>
    <row r="54" spans="1:16" ht="12" customHeight="1">
      <c r="A54" s="99" t="s">
        <v>1857</v>
      </c>
      <c r="B54" s="2924" t="s">
        <v>1858</v>
      </c>
      <c r="C54" s="2815"/>
      <c r="D54" s="98">
        <f>ROUND(D46*'数据-取费表'!E29/(1+'数据-取费表'!F30),0)</f>
        <v>0</v>
      </c>
      <c r="E54" s="10" t="s">
        <v>1855</v>
      </c>
      <c r="F54" s="100">
        <f>'数据-取费表'!E29</f>
        <v>5.5000000000000007E-2</v>
      </c>
      <c r="G54" s="2261"/>
      <c r="H54" s="2194"/>
      <c r="I54" s="2259"/>
      <c r="J54" s="1883">
        <v>2</v>
      </c>
      <c r="K54" s="2848" t="s">
        <v>1859</v>
      </c>
      <c r="L54" s="2848"/>
      <c r="M54" s="778">
        <f t="shared" ref="M54:O55" si="1">D56</f>
        <v>0</v>
      </c>
      <c r="N54" s="1883" t="str">
        <f t="shared" si="1"/>
        <v>销售额×税（费）率</v>
      </c>
      <c r="O54" s="779">
        <f t="shared" si="1"/>
        <v>5.0000000000000001E-4</v>
      </c>
      <c r="P54" s="1845"/>
    </row>
    <row r="55" spans="1:16" ht="12" customHeight="1">
      <c r="A55" s="99" t="s">
        <v>1860</v>
      </c>
      <c r="B55" s="2924" t="s">
        <v>1861</v>
      </c>
      <c r="C55" s="2815"/>
      <c r="D55" s="98">
        <f>C69</f>
        <v>0</v>
      </c>
      <c r="E55" s="20" t="s">
        <v>1862</v>
      </c>
      <c r="F55" s="100">
        <f>'数据-取费表'!E29</f>
        <v>5.5000000000000007E-2</v>
      </c>
      <c r="G55" s="2261"/>
      <c r="H55" s="2262"/>
      <c r="I55" s="2259"/>
      <c r="J55" s="1883">
        <v>3</v>
      </c>
      <c r="K55" s="2848" t="s">
        <v>1863</v>
      </c>
      <c r="L55" s="2848"/>
      <c r="M55" s="778">
        <f t="shared" si="1"/>
        <v>0</v>
      </c>
      <c r="N55" s="1883" t="str">
        <f t="shared" si="1"/>
        <v>增值额×税（费）率</v>
      </c>
      <c r="O55" s="780" t="str">
        <f t="shared" si="1"/>
        <v>——</v>
      </c>
      <c r="P55" s="1845"/>
    </row>
    <row r="56" spans="1:16" ht="24" customHeight="1">
      <c r="A56" s="2807" t="s">
        <v>1864</v>
      </c>
      <c r="B56" s="2945"/>
      <c r="C56" s="2945"/>
      <c r="D56" s="101">
        <f>IF(H56="个人住宅",0,ROUND(D46*I56,0))</f>
        <v>0</v>
      </c>
      <c r="E56" s="10" t="s">
        <v>1865</v>
      </c>
      <c r="F56" s="100">
        <f>IF(H56="正常",I56,"免征")</f>
        <v>5.0000000000000001E-4</v>
      </c>
      <c r="G56" s="2261"/>
      <c r="H56" s="2258" t="s">
        <v>1866</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07" t="s">
        <v>1867</v>
      </c>
      <c r="B57" s="2945"/>
      <c r="C57" s="2945"/>
      <c r="D57" s="101">
        <f>IF(H57="个人住宅",D58,D59)</f>
        <v>0</v>
      </c>
      <c r="E57" s="10" t="s">
        <v>1868</v>
      </c>
      <c r="F57" s="100" t="str">
        <f>IF(H57="正常",F59,"免征")</f>
        <v>——</v>
      </c>
      <c r="G57" s="2263" t="s">
        <v>1869</v>
      </c>
      <c r="H57" s="2264" t="s">
        <v>1866</v>
      </c>
      <c r="I57" s="1021"/>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1842</v>
      </c>
      <c r="B58" s="2933" t="s">
        <v>1870</v>
      </c>
      <c r="C58" s="2935"/>
      <c r="D58" s="103">
        <v>0</v>
      </c>
      <c r="E58" s="13" t="s">
        <v>1844</v>
      </c>
      <c r="F58" s="70"/>
      <c r="G58" s="2261"/>
      <c r="H58" s="1021"/>
      <c r="I58" s="1021"/>
      <c r="J58" s="2848">
        <f>IF(AND(J56="",J57=""),4,IF(项目基本情况!I6="上海银行",J57+1,J56+1))</f>
        <v>4</v>
      </c>
      <c r="K58" s="2848" t="s">
        <v>1871</v>
      </c>
      <c r="L58" s="2265" t="s">
        <v>1872</v>
      </c>
      <c r="M58" s="783"/>
      <c r="N58" s="784">
        <f>SUMIF(M53:M57,"&lt;9e307")</f>
        <v>0</v>
      </c>
      <c r="O58" s="2266"/>
      <c r="P58" s="1841" t="e">
        <f>N58/M50</f>
        <v>#VALUE!</v>
      </c>
    </row>
    <row r="59" spans="1:16" ht="24.75">
      <c r="A59" s="99" t="s">
        <v>1853</v>
      </c>
      <c r="B59" s="2933" t="s">
        <v>1873</v>
      </c>
      <c r="C59" s="2934"/>
      <c r="D59" s="101">
        <f>IF(H59="转让取得",C82,C98)</f>
        <v>0</v>
      </c>
      <c r="E59" s="10" t="s">
        <v>1868</v>
      </c>
      <c r="F59" s="14" t="s">
        <v>48</v>
      </c>
      <c r="G59" s="2261"/>
      <c r="H59" s="2264" t="s">
        <v>1874</v>
      </c>
      <c r="I59" s="1021"/>
      <c r="J59" s="2848"/>
      <c r="K59" s="2848"/>
      <c r="L59" s="2265" t="s">
        <v>1875</v>
      </c>
      <c r="M59" s="785"/>
      <c r="N59" s="2267" t="str">
        <f>IF(H19="元",NUMBERSTRING(INT(N58),2)&amp;"元整",NUMBERSTRING(INT(N58*10000),2)&amp;"元整")</f>
        <v>零元整</v>
      </c>
      <c r="O59" s="2268"/>
      <c r="P59" s="1845"/>
    </row>
    <row r="60" spans="1:16" ht="24.75" thickBot="1">
      <c r="A60" s="2808" t="s">
        <v>1876</v>
      </c>
      <c r="B60" s="2811"/>
      <c r="C60" s="2811"/>
      <c r="D60" s="104" t="str">
        <f>IF(H60="非个人房产","——",IF(H60="个人住宅",0,ROUND(D46*I60,0)))</f>
        <v>——</v>
      </c>
      <c r="E60" s="105" t="str">
        <f>IF(H60="非个人房产","——","销售额×税（费）率")</f>
        <v>——</v>
      </c>
      <c r="F60" s="106" t="str">
        <f>IF(H60="非个人房产","——",IF(H60="个人住宅","免征",I60))</f>
        <v>——</v>
      </c>
      <c r="G60" s="2269" t="s">
        <v>1869</v>
      </c>
      <c r="H60" s="2264" t="s">
        <v>1998</v>
      </c>
      <c r="I60" s="107">
        <v>0.01</v>
      </c>
      <c r="J60" s="2902">
        <f>J58+1</f>
        <v>5</v>
      </c>
      <c r="K60" s="2848" t="s">
        <v>1878</v>
      </c>
      <c r="L60" s="1883" t="s">
        <v>1872</v>
      </c>
      <c r="M60" s="786"/>
      <c r="N60" s="787" t="e">
        <f>M50-N58</f>
        <v>#VALUE!</v>
      </c>
      <c r="O60" s="2270"/>
      <c r="P60" s="1845"/>
    </row>
    <row r="61" spans="1:16" ht="12" customHeight="1">
      <c r="A61" s="2067"/>
      <c r="B61" s="2194"/>
      <c r="C61" s="2194"/>
      <c r="D61" s="2194"/>
      <c r="E61" s="1021"/>
      <c r="F61" s="1021"/>
      <c r="G61" s="1021"/>
      <c r="H61" s="2247"/>
      <c r="I61" s="2194"/>
      <c r="J61" s="2903"/>
      <c r="K61" s="2848"/>
      <c r="L61" s="2265" t="s">
        <v>1875</v>
      </c>
      <c r="M61" s="785"/>
      <c r="N61" s="2267" t="e">
        <f>IF(H19="元",NUMBERSTRING(INT(N60),2)&amp;"元整",NUMBERSTRING(INT(N60*10000),2)&amp;"元整")</f>
        <v>#VALUE!</v>
      </c>
      <c r="O61" s="2268"/>
      <c r="P61" s="1845"/>
    </row>
    <row r="62" spans="1:16" ht="13.5" thickBot="1">
      <c r="A62" s="2949" t="s">
        <v>1879</v>
      </c>
      <c r="B62" s="2949"/>
      <c r="C62" s="2949"/>
      <c r="D62" s="2949"/>
      <c r="E62" s="2949"/>
      <c r="F62" s="1021"/>
      <c r="G62" s="1021"/>
      <c r="H62" s="2247"/>
      <c r="I62" s="2194"/>
      <c r="J62" s="1883">
        <f>J60+1</f>
        <v>6</v>
      </c>
      <c r="K62" s="2848" t="s">
        <v>1880</v>
      </c>
      <c r="L62" s="2848"/>
      <c r="M62" s="788"/>
      <c r="N62" s="789" t="e">
        <f>IF(H19="元",ROUND(N60/项目基本情况!C12,0),ROUND(N60*10000/项目基本情况!C12,0))</f>
        <v>#VALUE!</v>
      </c>
      <c r="O62" s="2271"/>
      <c r="P62" s="1845"/>
    </row>
    <row r="63" spans="1:16" ht="12.75">
      <c r="A63" s="2886" t="s">
        <v>1881</v>
      </c>
      <c r="B63" s="2887"/>
      <c r="C63" s="1885"/>
      <c r="D63" s="1885" t="s">
        <v>1882</v>
      </c>
      <c r="E63" s="108" t="s">
        <v>1883</v>
      </c>
      <c r="F63" s="1021"/>
      <c r="G63" s="1021"/>
      <c r="H63" s="2247"/>
      <c r="I63" s="2194"/>
      <c r="J63" s="1845"/>
      <c r="K63" s="1845"/>
      <c r="L63" s="1845"/>
      <c r="M63" s="1845"/>
      <c r="N63" s="1845"/>
      <c r="O63" s="1845"/>
      <c r="P63" s="1845"/>
    </row>
    <row r="64" spans="1:16" ht="12.75">
      <c r="A64" s="109">
        <v>1</v>
      </c>
      <c r="B64" s="110" t="s">
        <v>1884</v>
      </c>
      <c r="C64" s="111">
        <f>ROUND((C65+C66)/(1+'数据-取费表'!F30),0)</f>
        <v>0</v>
      </c>
      <c r="D64" s="112"/>
      <c r="E64" s="113"/>
      <c r="F64" s="1021"/>
      <c r="G64" s="1021"/>
      <c r="H64" s="2247"/>
      <c r="I64" s="2194"/>
      <c r="J64" s="2867" t="s">
        <v>1885</v>
      </c>
      <c r="K64" s="2272"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0</v>
      </c>
      <c r="D65" s="117" t="s">
        <v>41</v>
      </c>
      <c r="E65" s="118"/>
      <c r="F65" s="1021"/>
      <c r="G65" s="1021"/>
      <c r="H65" s="2247"/>
      <c r="I65" s="2194"/>
      <c r="J65" s="2867"/>
      <c r="K65" s="2272"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1"/>
      <c r="G66" s="1021"/>
      <c r="H66" s="2247"/>
      <c r="I66" s="2194"/>
      <c r="J66" s="2867"/>
      <c r="K66" s="2272"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1"/>
      <c r="G67" s="1021"/>
      <c r="H67" s="2247"/>
      <c r="I67" s="2194"/>
      <c r="J67" s="2867"/>
      <c r="K67" s="2272" t="s">
        <v>1894</v>
      </c>
      <c r="L67" s="1844" t="e">
        <f>M50*0.5%</f>
        <v>#VALUE!</v>
      </c>
      <c r="M67" s="14" t="e">
        <f>IF(L67&gt;0.5,0.5,ROUND(L67,0))</f>
        <v>#VALUE!</v>
      </c>
      <c r="N67" s="1845" t="s">
        <v>1895</v>
      </c>
      <c r="O67" s="1845"/>
      <c r="P67" s="1845"/>
    </row>
    <row r="68" spans="1:35" ht="12.75">
      <c r="A68" s="120" t="s">
        <v>42</v>
      </c>
      <c r="B68" s="121" t="s">
        <v>1896</v>
      </c>
      <c r="C68" s="124">
        <f>C64-C67</f>
        <v>0</v>
      </c>
      <c r="D68" s="117" t="s">
        <v>41</v>
      </c>
      <c r="E68" s="118"/>
      <c r="F68" s="1021"/>
      <c r="G68" s="1021"/>
      <c r="H68" s="2247"/>
      <c r="I68" s="2194"/>
      <c r="J68" s="2867"/>
      <c r="K68" s="2272"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0</v>
      </c>
      <c r="D69" s="128">
        <f>'数据-取费表'!E29</f>
        <v>5.5000000000000007E-2</v>
      </c>
      <c r="E69" s="129"/>
      <c r="F69" s="1021"/>
      <c r="G69" s="1021"/>
      <c r="H69" s="2247"/>
      <c r="I69" s="2194"/>
      <c r="J69" s="2867"/>
      <c r="K69" s="2272" t="s">
        <v>1899</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1"/>
      <c r="G70" s="1021"/>
      <c r="H70" s="2247"/>
      <c r="I70" s="2194"/>
      <c r="J70" s="2867"/>
      <c r="K70" s="2272" t="s">
        <v>1900</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8" t="s">
        <v>1901</v>
      </c>
      <c r="B71" s="2889"/>
      <c r="C71" s="2889"/>
      <c r="D71" s="2889"/>
      <c r="E71" s="2889"/>
      <c r="F71" s="2889"/>
      <c r="G71" s="2889"/>
      <c r="H71" s="2889"/>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6" t="s">
        <v>1881</v>
      </c>
      <c r="B72" s="2887"/>
      <c r="C72" s="1885"/>
      <c r="D72" s="1885" t="s">
        <v>1882</v>
      </c>
      <c r="E72" s="130" t="s">
        <v>1883</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1902</v>
      </c>
      <c r="C73" s="124">
        <f>ROUND(D46/(1+'数据-取费表'!F30),0)</f>
        <v>0</v>
      </c>
      <c r="D73" s="117" t="s">
        <v>41</v>
      </c>
      <c r="E73" s="1888"/>
      <c r="F73" s="1889"/>
      <c r="G73" s="1889"/>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1904</v>
      </c>
      <c r="C74" s="124">
        <f>C75+C79</f>
        <v>0</v>
      </c>
      <c r="D74" s="117" t="s">
        <v>41</v>
      </c>
      <c r="E74" s="1888"/>
      <c r="F74" s="1889"/>
      <c r="G74" s="1889"/>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1905</v>
      </c>
      <c r="C75" s="117">
        <f>ROUND(IF(G78="2016年5月1日后购买",C76/(1+'数据-取费表'!F30)+C77+C78,C76+C77+C78),0)</f>
        <v>0</v>
      </c>
      <c r="D75" s="117" t="s">
        <v>41</v>
      </c>
      <c r="E75" s="1888"/>
      <c r="F75" s="1889"/>
      <c r="G75" s="1889"/>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1906</v>
      </c>
      <c r="C76" s="137"/>
      <c r="D76" s="117" t="s">
        <v>41</v>
      </c>
      <c r="E76" s="138" t="s">
        <v>1907</v>
      </c>
      <c r="F76" s="2283" t="s">
        <v>1908</v>
      </c>
      <c r="G76" s="138" t="s">
        <v>1909</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1910</v>
      </c>
      <c r="C77" s="117">
        <f>IF(F76="购房发票",ROUND(C76*H76*D77,0),0)</f>
        <v>0</v>
      </c>
      <c r="D77" s="141">
        <v>0.05</v>
      </c>
      <c r="E77" s="2924" t="s">
        <v>1911</v>
      </c>
      <c r="F77" s="2925"/>
      <c r="G77" s="2925"/>
      <c r="H77" s="292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4" t="s">
        <v>1914</v>
      </c>
      <c r="H78" s="1890"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1915</v>
      </c>
      <c r="C79" s="144">
        <f>ROUND(D46*D79/(1+'数据-取费表'!F30),0)</f>
        <v>0</v>
      </c>
      <c r="D79" s="145">
        <f>'数据-取费表'!E31</f>
        <v>5.000000000000001E-3</v>
      </c>
      <c r="E79" s="2855" t="s">
        <v>1916</v>
      </c>
      <c r="F79" s="2856"/>
      <c r="G79" s="2856"/>
      <c r="H79" s="2876"/>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1917</v>
      </c>
      <c r="C80" s="124">
        <f>C73-C74</f>
        <v>0</v>
      </c>
      <c r="D80" s="117" t="s">
        <v>41</v>
      </c>
      <c r="E80" s="1888"/>
      <c r="F80" s="1889"/>
      <c r="G80" s="1889"/>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8" t="s">
        <v>1920</v>
      </c>
      <c r="B84" s="2889"/>
      <c r="C84" s="2889"/>
      <c r="D84" s="2889"/>
      <c r="E84" s="2889"/>
      <c r="F84" s="2889"/>
      <c r="G84" s="2889"/>
      <c r="H84" s="2889"/>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6" t="s">
        <v>1881</v>
      </c>
      <c r="B85" s="2887"/>
      <c r="C85" s="1885"/>
      <c r="D85" s="1885" t="s">
        <v>1882</v>
      </c>
      <c r="E85" s="130" t="s">
        <v>1883</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1902</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1904</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1921</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1922</v>
      </c>
      <c r="C89" s="157"/>
      <c r="D89" s="145"/>
      <c r="E89" s="158" t="s">
        <v>1923</v>
      </c>
      <c r="F89" s="1882"/>
      <c r="G89" s="159" t="s">
        <v>1924</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1912</v>
      </c>
      <c r="C90" s="144">
        <f>ROUND(C89*D90,0)</f>
        <v>0</v>
      </c>
      <c r="D90" s="145">
        <f>'数据-取费表'!E36+'数据-取费表'!E37</f>
        <v>3.0499999999999999E-2</v>
      </c>
      <c r="E90" s="158" t="s">
        <v>1925</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1926</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1927</v>
      </c>
      <c r="C92" s="144">
        <f>IF(H92="——",成本法!C33,I92)</f>
        <v>0</v>
      </c>
      <c r="D92" s="145"/>
      <c r="E92" s="2855" t="s">
        <v>1928</v>
      </c>
      <c r="F92" s="2856"/>
      <c r="G92" s="2856"/>
      <c r="H92" s="2287" t="s">
        <v>1929</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1930</v>
      </c>
      <c r="C93" s="144">
        <f>ROUND((C88+C91+C92)*D93,0)</f>
        <v>0</v>
      </c>
      <c r="D93" s="145">
        <v>0.1</v>
      </c>
      <c r="E93" s="2855" t="s">
        <v>1931</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1915</v>
      </c>
      <c r="C94" s="144">
        <f>ROUND(D46*D94/(1+'数据-取费表'!F30),0)</f>
        <v>0</v>
      </c>
      <c r="D94" s="145">
        <f>'数据-取费表'!E31</f>
        <v>5.000000000000001E-3</v>
      </c>
      <c r="E94" s="2855" t="s">
        <v>1916</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1932</v>
      </c>
      <c r="C95" s="144">
        <f>ROUND((C88+C91+C92)*D95,0)</f>
        <v>0</v>
      </c>
      <c r="D95" s="145">
        <v>0.2</v>
      </c>
      <c r="E95" s="2855" t="s">
        <v>1933</v>
      </c>
      <c r="F95" s="2856"/>
      <c r="G95" s="2856"/>
      <c r="H95" s="2876"/>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1917</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1934</v>
      </c>
      <c r="B99" s="2194"/>
      <c r="C99" s="2194"/>
      <c r="D99" s="2194"/>
      <c r="E99" s="1021"/>
      <c r="F99" s="1021"/>
      <c r="G99" s="1021"/>
      <c r="H99" s="2247"/>
      <c r="I99" s="2194"/>
    </row>
    <row r="100" spans="1:35" ht="15.75">
      <c r="A100" s="2873" t="s">
        <v>1935</v>
      </c>
      <c r="B100" s="2874"/>
      <c r="C100" s="2874"/>
      <c r="D100" s="2875"/>
      <c r="E100" s="2194"/>
      <c r="F100" s="2883" t="s">
        <v>1936</v>
      </c>
      <c r="G100" s="2884"/>
      <c r="H100" s="2884"/>
      <c r="I100" s="2885"/>
    </row>
    <row r="101" spans="1:35" ht="15.75">
      <c r="A101" s="2890" t="s">
        <v>1937</v>
      </c>
      <c r="B101" s="2891"/>
      <c r="C101" s="720">
        <f>C4</f>
        <v>0</v>
      </c>
      <c r="D101" s="721">
        <f>D4</f>
        <v>0</v>
      </c>
      <c r="E101" s="2194"/>
      <c r="F101" s="2892" t="s">
        <v>1938</v>
      </c>
      <c r="G101" s="2894"/>
      <c r="H101" s="2975" t="s">
        <v>1939</v>
      </c>
      <c r="I101" s="2893"/>
    </row>
    <row r="102" spans="1:35" ht="15.75">
      <c r="A102" s="2976" t="s">
        <v>1999</v>
      </c>
      <c r="B102" s="2289" t="str">
        <f>IF(H19="元","总价（元）","总价（万元）")</f>
        <v>总价（元）</v>
      </c>
      <c r="C102" s="720" t="e">
        <f ca="1">C19</f>
        <v>#REF!</v>
      </c>
      <c r="D102" s="721" t="e">
        <f ca="1">D19</f>
        <v>#REF!</v>
      </c>
      <c r="E102" s="2194"/>
      <c r="F102" s="2977"/>
      <c r="G102" s="2978"/>
      <c r="H102" s="2953">
        <f>典型户型修正!B25</f>
        <v>0</v>
      </c>
      <c r="I102" s="2893"/>
    </row>
    <row r="103" spans="1:35" ht="15.75">
      <c r="A103" s="2976"/>
      <c r="B103" s="2289" t="s">
        <v>1941</v>
      </c>
      <c r="C103" s="722" t="e">
        <f ca="1">C20</f>
        <v>#REF!</v>
      </c>
      <c r="D103" s="723" t="e">
        <f ca="1">D20</f>
        <v>#REF!</v>
      </c>
      <c r="E103" s="2194"/>
      <c r="F103" s="2967" t="s">
        <v>1942</v>
      </c>
      <c r="G103" s="2968"/>
      <c r="H103" s="2290" t="str">
        <f>C109</f>
        <v>总价（元）</v>
      </c>
      <c r="I103" s="1862">
        <f>H124</f>
        <v>0</v>
      </c>
    </row>
    <row r="104" spans="1:35" ht="15">
      <c r="A104" s="2976" t="s">
        <v>2000</v>
      </c>
      <c r="B104" s="2291" t="str">
        <f>B102</f>
        <v>总价（元）</v>
      </c>
      <c r="C104" s="1189" t="e">
        <f ca="1">ROUND(IF('数据-取费表'!B4="总价",G19,IF(H19="元",G20*'数据-取费表'!E5,G20*'数据-取费表'!E5/10000)),0)</f>
        <v>#REF!</v>
      </c>
      <c r="D104" s="725"/>
      <c r="E104" s="2194"/>
      <c r="F104" s="2967"/>
      <c r="G104" s="2968"/>
      <c r="H104" s="2290" t="s">
        <v>1941</v>
      </c>
      <c r="I104" s="1049" t="e">
        <f>I124</f>
        <v>#DIV/0!</v>
      </c>
    </row>
    <row r="105" spans="1:35" ht="15.75">
      <c r="A105" s="2976"/>
      <c r="B105" s="2289" t="s">
        <v>1941</v>
      </c>
      <c r="C105" s="1190" t="e">
        <f ca="1">ROUND(IF('数据-取费表'!B4="楼面单价",G20,IF(H19="元",G19/'数据-取费表'!E5,G19*10000/'数据-取费表'!E5)),0)</f>
        <v>#REF!</v>
      </c>
      <c r="D105" s="725"/>
      <c r="E105" s="2194"/>
      <c r="F105" s="2879"/>
      <c r="G105" s="2880"/>
      <c r="H105" s="2914"/>
      <c r="I105" s="2915"/>
    </row>
    <row r="106" spans="1:35" ht="15.75">
      <c r="A106" s="2983" t="s">
        <v>2001</v>
      </c>
      <c r="B106" s="2329" t="str">
        <f>B102</f>
        <v>总价（元）</v>
      </c>
      <c r="C106" s="724">
        <f>H124</f>
        <v>0</v>
      </c>
      <c r="D106" s="1188"/>
      <c r="E106" s="2194"/>
      <c r="F106" s="2918" t="s">
        <v>1945</v>
      </c>
      <c r="G106" s="2919"/>
      <c r="H106" s="2293" t="str">
        <f>C111</f>
        <v>总额（元）</v>
      </c>
      <c r="I106" s="1862">
        <f>SUMIF(I107:I109,"&lt;9E307")</f>
        <v>0</v>
      </c>
    </row>
    <row r="107" spans="1:35" ht="15.75" thickBot="1">
      <c r="A107" s="2913"/>
      <c r="B107" s="2292" t="s">
        <v>1941</v>
      </c>
      <c r="C107" s="726" t="e">
        <f>I124</f>
        <v>#DIV/0!</v>
      </c>
      <c r="D107" s="727"/>
      <c r="E107" s="2194"/>
      <c r="F107" s="2881" t="s">
        <v>1947</v>
      </c>
      <c r="G107" s="2882"/>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79" t="s">
        <v>1944</v>
      </c>
      <c r="B108" s="2980"/>
      <c r="C108" s="2980"/>
      <c r="D108" s="2981"/>
      <c r="E108" s="2194"/>
      <c r="F108" s="2881" t="s">
        <v>1948</v>
      </c>
      <c r="G108" s="2882"/>
      <c r="H108" s="2293" t="str">
        <f>C113</f>
        <v>总额（元）</v>
      </c>
      <c r="I108" s="1049">
        <f>C38</f>
        <v>0</v>
      </c>
      <c r="K108" s="2294"/>
    </row>
    <row r="109" spans="1:35" ht="15">
      <c r="A109" s="2920" t="s">
        <v>2002</v>
      </c>
      <c r="B109" s="2921"/>
      <c r="C109" s="2290" t="str">
        <f>B102</f>
        <v>总价（元）</v>
      </c>
      <c r="D109" s="1050">
        <f>H124</f>
        <v>0</v>
      </c>
      <c r="E109" s="2194"/>
      <c r="F109" s="2881" t="s">
        <v>1950</v>
      </c>
      <c r="G109" s="2882"/>
      <c r="H109" s="2293" t="str">
        <f>C114</f>
        <v>总额（元）</v>
      </c>
      <c r="I109" s="1049">
        <f>C39</f>
        <v>0</v>
      </c>
    </row>
    <row r="110" spans="1:35" ht="15.75">
      <c r="A110" s="2920"/>
      <c r="B110" s="2921"/>
      <c r="C110" s="2290" t="s">
        <v>1941</v>
      </c>
      <c r="D110" s="1051" t="e">
        <f>I124</f>
        <v>#DIV/0!</v>
      </c>
      <c r="E110" s="2194"/>
      <c r="F110" s="2879"/>
      <c r="G110" s="2880"/>
      <c r="H110" s="2916"/>
      <c r="I110" s="2917"/>
    </row>
    <row r="111" spans="1:35" ht="28.5" customHeight="1">
      <c r="A111" s="2963" t="s">
        <v>1949</v>
      </c>
      <c r="B111" s="2964"/>
      <c r="C111" s="2293" t="str">
        <f>IF(H19="元","总额（元）","总额（万元）")</f>
        <v>总额（元）</v>
      </c>
      <c r="D111" s="1050">
        <f>IF(D37="正常操作",I107+I108+I109,I108+I109)</f>
        <v>0</v>
      </c>
      <c r="E111" s="2194"/>
      <c r="F111" s="2861" t="str">
        <f>IF(项目基本情况!F5="已注销","——","3.房地产抵押价值")</f>
        <v>3.房地产抵押价值</v>
      </c>
      <c r="G111" s="2862"/>
      <c r="H111" s="2330" t="str">
        <f>C115</f>
        <v>总价（元）</v>
      </c>
      <c r="I111" s="1862">
        <f>IF(F111="——","——",I103-I106)</f>
        <v>0</v>
      </c>
    </row>
    <row r="112" spans="1:35" ht="15">
      <c r="A112" s="2881" t="s">
        <v>1947</v>
      </c>
      <c r="B112" s="2882"/>
      <c r="C112" s="2293" t="str">
        <f>C111</f>
        <v>总额（元）</v>
      </c>
      <c r="D112" s="637">
        <f>IF(D37="同一抵押权人同一抵押物续贷",C37&amp;"（未扣减，详见特别提示）",C37)</f>
        <v>0</v>
      </c>
      <c r="E112" s="2194"/>
      <c r="F112" s="2863"/>
      <c r="G112" s="2864"/>
      <c r="H112" s="2290" t="s">
        <v>1941</v>
      </c>
      <c r="I112" s="2296" t="e">
        <f>D116</f>
        <v>#DIV/0!</v>
      </c>
    </row>
    <row r="113" spans="1:26" ht="15.75">
      <c r="A113" s="2881" t="s">
        <v>1948</v>
      </c>
      <c r="B113" s="2882"/>
      <c r="C113" s="2293" t="str">
        <f>C111</f>
        <v>总额（元）</v>
      </c>
      <c r="D113" s="637">
        <f>C38</f>
        <v>0</v>
      </c>
      <c r="E113" s="2194"/>
      <c r="F113" s="2861" t="str">
        <f>IF(项目基本情况!F5="已注销及未注销","4.抵押担保权已注销时的房地产抵押价值",IF(项目基本情况!F5="已注销","3.抵押担保权已注销时的房地产抵押价值","——"))</f>
        <v>——</v>
      </c>
      <c r="G113" s="2862"/>
      <c r="H113" s="2330" t="str">
        <f>C117</f>
        <v>总价（元）</v>
      </c>
      <c r="I113" s="1862" t="str">
        <f>IF(F113="——","——",I103-I108-I109)</f>
        <v>——</v>
      </c>
    </row>
    <row r="114" spans="1:26" ht="15">
      <c r="A114" s="2881" t="s">
        <v>1950</v>
      </c>
      <c r="B114" s="2882"/>
      <c r="C114" s="2293" t="str">
        <f>C111</f>
        <v>总额（元）</v>
      </c>
      <c r="D114" s="637">
        <f>C39</f>
        <v>0</v>
      </c>
      <c r="E114" s="2194"/>
      <c r="F114" s="2863"/>
      <c r="G114" s="2864"/>
      <c r="H114" s="2290" t="s">
        <v>1941</v>
      </c>
      <c r="I114" s="1049" t="str">
        <f>D118</f>
        <v>——</v>
      </c>
    </row>
    <row r="115" spans="1:26" ht="15.75">
      <c r="A115" s="2920" t="str">
        <f>IF(项目基本情况!F5="已注销","——","3.房地产抵押价值")</f>
        <v>3.房地产抵押价值</v>
      </c>
      <c r="B115" s="2921"/>
      <c r="C115" s="2290" t="str">
        <f>B102</f>
        <v>总价（元）</v>
      </c>
      <c r="D115" s="1050">
        <f>IF(A115="——","——",D109-D111)</f>
        <v>0</v>
      </c>
      <c r="E115" s="2194"/>
      <c r="F115" s="2861" t="str">
        <f>IF(项目基本情况!G5="抵押净值",IF(OR(项目基本情况!F5="已注销",项目基本情况!F5="房地产抵押价值"),"4.抵押净值","5.抵押净值"),"——")</f>
        <v>——</v>
      </c>
      <c r="G115" s="2862"/>
      <c r="H115" s="2290" t="str">
        <f>C119</f>
        <v>总价（元）</v>
      </c>
      <c r="I115" s="1862" t="str">
        <f>IF(F115="——","——",N60)</f>
        <v>——</v>
      </c>
    </row>
    <row r="116" spans="1:26" ht="15.75" thickBot="1">
      <c r="A116" s="2920"/>
      <c r="B116" s="2921"/>
      <c r="C116" s="2290" t="s">
        <v>2003</v>
      </c>
      <c r="D116" s="1051" t="e">
        <f>ROUND(IF(D115=D109,D110,IF(H19="元",D115/B124,D115*10000/B124)),0)</f>
        <v>#DIV/0!</v>
      </c>
      <c r="E116" s="2194"/>
      <c r="F116" s="2954"/>
      <c r="G116" s="2955"/>
      <c r="H116" s="2298" t="s">
        <v>2003</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0" t="str">
        <f>B102</f>
        <v>总价（元）</v>
      </c>
      <c r="D117" s="1050" t="str">
        <f>IF(A117="——","——",D109-D113-D114)</f>
        <v>——</v>
      </c>
      <c r="E117" s="2194"/>
      <c r="F117" s="2857"/>
      <c r="G117" s="2857"/>
      <c r="H117" s="2899"/>
      <c r="I117" s="2899"/>
      <c r="N117" s="55"/>
      <c r="O117" s="55"/>
    </row>
    <row r="118" spans="1:26" s="1845" customFormat="1" ht="15">
      <c r="A118" s="2920"/>
      <c r="B118" s="2921"/>
      <c r="C118" s="2290" t="s">
        <v>2003</v>
      </c>
      <c r="D118" s="1051" t="str">
        <f>IF(A117="——","——",IF(H19="元",ROUND(D117/B124,0),ROUND(D117*10000/B124,0)))</f>
        <v>——</v>
      </c>
      <c r="E118" s="2194"/>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8" t="s">
        <v>2003</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2004</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1952</v>
      </c>
      <c r="B122" s="2870" t="s">
        <v>2005</v>
      </c>
      <c r="C122" s="2870" t="s">
        <v>2006</v>
      </c>
      <c r="D122" s="2877" t="s">
        <v>1955</v>
      </c>
      <c r="E122" s="2878"/>
      <c r="F122" s="2868" t="s">
        <v>2007</v>
      </c>
      <c r="G122" s="2868"/>
      <c r="H122" s="2868" t="s">
        <v>1956</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1960</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1960</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1960</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1960</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1960</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1961</v>
      </c>
      <c r="B136" s="2300"/>
      <c r="C136" s="2301" t="s">
        <v>1962</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1963</v>
      </c>
      <c r="G142" s="2313"/>
      <c r="H142" s="2313"/>
      <c r="I142" s="2314"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0"/>
      <c r="C1" s="162"/>
      <c r="D1" s="162"/>
      <c r="E1" s="162"/>
      <c r="F1" s="162"/>
      <c r="G1" s="163"/>
    </row>
    <row r="2" spans="1:7" s="164" customFormat="1" ht="18" customHeight="1">
      <c r="A2" s="165" t="s">
        <v>2009</v>
      </c>
      <c r="B2" s="166">
        <f ca="1">IF(D2="——",IF(C2="元",C52,ROUND(C52/10000,0)),IF(C2="元",C52,ROUND(C52/10000,0))-E2)</f>
        <v>1842103</v>
      </c>
      <c r="C2" s="163" t="str">
        <f>'数据-取费表'!B3</f>
        <v>元</v>
      </c>
      <c r="D2" s="2332" t="s">
        <v>1255</v>
      </c>
      <c r="E2" s="1545" t="e">
        <f ca="1">SUMIF(INDIRECT("'"&amp;G2&amp;"'"&amp;"!A:A"),"承租人权益价值",INDIRECT("'"&amp;G2&amp;"'"&amp;"!c:c"))</f>
        <v>#REF!</v>
      </c>
      <c r="F2" s="2333" t="str">
        <f>C2</f>
        <v>元</v>
      </c>
      <c r="G2" s="1906"/>
    </row>
    <row r="3" spans="1:7" s="164" customFormat="1" ht="18" customHeight="1" thickBot="1">
      <c r="A3" s="167" t="s">
        <v>2010</v>
      </c>
      <c r="B3" s="168">
        <f ca="1">ROUND(C52/IF(B1="仅计算典型户型",'数据-取费表'!E5,'数据-取费表'!B5),0)</f>
        <v>23693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31" t="s">
        <v>2016</v>
      </c>
      <c r="F5" s="1531" t="s">
        <v>2017</v>
      </c>
      <c r="G5" s="174"/>
    </row>
    <row r="6" spans="1:7" s="175" customFormat="1" ht="13.5" customHeight="1">
      <c r="A6" s="176" t="s">
        <v>2018</v>
      </c>
      <c r="B6" s="177" t="s">
        <v>2019</v>
      </c>
      <c r="C6" s="1530">
        <v>1000000</v>
      </c>
      <c r="D6" s="1532"/>
      <c r="E6" s="1533"/>
      <c r="F6" s="1533"/>
      <c r="G6" s="179"/>
    </row>
    <row r="7" spans="1:7" s="175" customFormat="1" ht="13.5" customHeight="1">
      <c r="A7" s="176" t="s">
        <v>2020</v>
      </c>
      <c r="B7" s="177" t="s">
        <v>2021</v>
      </c>
      <c r="C7" s="199">
        <f>ROUND(C6*F7,0)</f>
        <v>30500</v>
      </c>
      <c r="D7" s="199"/>
      <c r="E7" s="1533"/>
      <c r="F7" s="1534">
        <f>'数据-取费表'!E36+'数据-取费表'!E37</f>
        <v>3.0499999999999999E-2</v>
      </c>
      <c r="G7" s="179"/>
    </row>
    <row r="8" spans="1:7" s="180" customFormat="1">
      <c r="A8" s="176" t="s">
        <v>2022</v>
      </c>
      <c r="B8" s="177" t="s">
        <v>2023</v>
      </c>
      <c r="C8" s="199">
        <f>IF(G8="已包含在土地购买价格中","0",'数据-取费表'!E13)</f>
        <v>0</v>
      </c>
      <c r="D8" s="1535"/>
      <c r="E8" s="199"/>
      <c r="F8" s="1534"/>
      <c r="G8" s="2334"/>
    </row>
    <row r="9" spans="1:7" s="175" customFormat="1" ht="13.5" customHeight="1">
      <c r="A9" s="1303" t="s">
        <v>954</v>
      </c>
      <c r="B9" s="181" t="s">
        <v>2024</v>
      </c>
      <c r="C9" s="1536">
        <f>ROUND(D9*E9,0)</f>
        <v>12440</v>
      </c>
      <c r="D9" s="1537">
        <f>IF('数据-取费表'!B10="住宅",IF(B1="仅计算典型户型",'数据-取费表'!E5,'数据-取费表'!B5),0)</f>
        <v>77.75</v>
      </c>
      <c r="E9" s="1536">
        <f>'数据-取费表'!E11</f>
        <v>160</v>
      </c>
      <c r="F9" s="1534"/>
      <c r="G9" s="182"/>
    </row>
    <row r="10" spans="1:7" s="175" customFormat="1" ht="13.5" customHeight="1">
      <c r="A10" s="1303" t="s">
        <v>955</v>
      </c>
      <c r="B10" s="181" t="s">
        <v>2025</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2026</v>
      </c>
      <c r="C11" s="195"/>
      <c r="D11" s="199"/>
      <c r="E11" s="1533"/>
      <c r="F11" s="1533"/>
      <c r="G11" s="179"/>
    </row>
    <row r="12" spans="1:7" s="175" customFormat="1" ht="13.5" hidden="1" customHeight="1">
      <c r="A12" s="176" t="s">
        <v>5</v>
      </c>
      <c r="B12" s="177" t="s">
        <v>2027</v>
      </c>
      <c r="C12" s="195">
        <v>0</v>
      </c>
      <c r="D12" s="199"/>
      <c r="E12" s="1538"/>
      <c r="F12" s="1534">
        <v>3.0499999999999999E-2</v>
      </c>
      <c r="G12" s="179"/>
    </row>
    <row r="13" spans="1:7" s="175" customFormat="1" ht="13.5" hidden="1" customHeight="1">
      <c r="A13" s="176" t="s">
        <v>6</v>
      </c>
      <c r="B13" s="177" t="s">
        <v>2028</v>
      </c>
      <c r="C13" s="195"/>
      <c r="D13" s="199"/>
      <c r="E13" s="1533"/>
      <c r="F13" s="1533"/>
      <c r="G13" s="179"/>
    </row>
    <row r="14" spans="1:7" s="175" customFormat="1" ht="13.5" hidden="1" customHeight="1">
      <c r="A14" s="176" t="s">
        <v>7</v>
      </c>
      <c r="B14" s="177" t="s">
        <v>2023</v>
      </c>
      <c r="C14" s="195"/>
      <c r="D14" s="199"/>
      <c r="E14" s="1533"/>
      <c r="F14" s="1533"/>
      <c r="G14" s="179" t="s">
        <v>2029</v>
      </c>
    </row>
    <row r="15" spans="1:7" s="175" customFormat="1" ht="13.5" hidden="1" customHeight="1">
      <c r="A15" s="176" t="s">
        <v>8</v>
      </c>
      <c r="B15" s="177" t="s">
        <v>2030</v>
      </c>
      <c r="C15" s="199"/>
      <c r="D15" s="199"/>
      <c r="E15" s="1533"/>
      <c r="F15" s="1533"/>
      <c r="G15" s="179" t="s">
        <v>2031</v>
      </c>
    </row>
    <row r="16" spans="1:7" s="175" customFormat="1" ht="13.5" hidden="1" customHeight="1">
      <c r="A16" s="176" t="s">
        <v>9</v>
      </c>
      <c r="B16" s="177" t="s">
        <v>2023</v>
      </c>
      <c r="C16" s="199"/>
      <c r="D16" s="199"/>
      <c r="E16" s="1533"/>
      <c r="F16" s="1533"/>
      <c r="G16" s="179"/>
    </row>
    <row r="17" spans="1:7" s="175" customFormat="1" ht="13.5" hidden="1" customHeight="1">
      <c r="A17" s="176" t="s">
        <v>10</v>
      </c>
      <c r="B17" s="177" t="s">
        <v>2032</v>
      </c>
      <c r="C17" s="1539"/>
      <c r="D17" s="1539"/>
      <c r="E17" s="1539"/>
      <c r="F17" s="1539"/>
      <c r="G17" s="179" t="s">
        <v>2031</v>
      </c>
    </row>
    <row r="18" spans="1:7" s="175" customFormat="1" ht="13.5" hidden="1" customHeight="1">
      <c r="A18" s="176" t="s">
        <v>11</v>
      </c>
      <c r="B18" s="177" t="s">
        <v>2033</v>
      </c>
      <c r="C18" s="199">
        <v>0</v>
      </c>
      <c r="D18" s="199"/>
      <c r="E18" s="1533"/>
      <c r="F18" s="1534">
        <v>3.0499999999999999E-2</v>
      </c>
      <c r="G18" s="179" t="s">
        <v>2034</v>
      </c>
    </row>
    <row r="19" spans="1:7" s="180" customFormat="1" ht="13.5" customHeight="1">
      <c r="A19" s="204" t="s">
        <v>2035</v>
      </c>
      <c r="B19" s="173" t="s">
        <v>2036</v>
      </c>
      <c r="C19" s="195">
        <f>IF(G19="已包含在土地取得成本中","0",ROUND(D19*E19,0))</f>
        <v>15550</v>
      </c>
      <c r="D19" s="1540">
        <f>IF(B1="仅计算典型户型",'数据-取费表'!E5,'数据-取费表'!B5)</f>
        <v>77.75</v>
      </c>
      <c r="E19" s="195">
        <f>'数据-取费表'!E15</f>
        <v>200</v>
      </c>
      <c r="F19" s="196"/>
      <c r="G19" s="2334"/>
    </row>
    <row r="20" spans="1:7" s="175" customFormat="1" ht="13.5" customHeight="1">
      <c r="A20" s="204" t="s">
        <v>2037</v>
      </c>
      <c r="B20" s="173" t="s">
        <v>2038</v>
      </c>
      <c r="C20" s="183">
        <f>ROUND((C5+C19)*F20,0)</f>
        <v>20921</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76150</v>
      </c>
      <c r="D22" s="185">
        <f ca="1">C26</f>
        <v>6.9999999999999999E-4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4">
        <f ca="1">ROUND(IF('数据-取费表'!B23&lt;=1,C5*F22*'数据-取费表'!B24,C5*(POWER((1+F22),'数据-取费表'!B24)-1)),0)</f>
        <v>74288</v>
      </c>
      <c r="D23" s="188"/>
      <c r="E23" s="188"/>
      <c r="F23" s="189"/>
      <c r="G23" s="190" t="s">
        <v>2048</v>
      </c>
    </row>
    <row r="24" spans="1:7" s="175" customFormat="1" ht="13.5" customHeight="1">
      <c r="A24" s="176" t="s">
        <v>2020</v>
      </c>
      <c r="B24" s="177" t="s">
        <v>2049</v>
      </c>
      <c r="C24" s="1454">
        <f ca="1">ROUND(IF('数据-取费表'!B23&lt;=1,C19*F22*('数据-取费表'!B20/2+'数据-取费表'!B22),C19*(POWER((1+F22),('数据-取费表'!B20/2+'数据-取费表'!B22))-1)),0)</f>
        <v>1121</v>
      </c>
      <c r="D24" s="188"/>
      <c r="E24" s="188"/>
      <c r="F24" s="189"/>
      <c r="G24" s="190" t="s">
        <v>2050</v>
      </c>
    </row>
    <row r="25" spans="1:7" s="175" customFormat="1" ht="24">
      <c r="A25" s="176" t="s">
        <v>2022</v>
      </c>
      <c r="B25" s="177" t="s">
        <v>2051</v>
      </c>
      <c r="C25" s="1454">
        <f ca="1">ROUND(IF('数据-取费表'!B23&lt;=1,C20*F22*'数据-取费表'!B24/2,C20*(POWER((1+F22),'数据-取费表'!B24/2)-1)),0)</f>
        <v>741</v>
      </c>
      <c r="D25" s="188"/>
      <c r="E25" s="191"/>
      <c r="F25" s="189"/>
      <c r="G25" s="192" t="s">
        <v>2052</v>
      </c>
    </row>
    <row r="26" spans="1:7" s="175" customFormat="1">
      <c r="A26" s="176" t="s">
        <v>2053</v>
      </c>
      <c r="B26" s="177" t="s">
        <v>2054</v>
      </c>
      <c r="C26" s="188">
        <f ca="1">ROUND(IF('数据-取费表'!B23&lt;=1,F21*F22*'数据-取费表'!B24/2,F21*(POWER((1+F22),'数据-取费表'!B24/2)-1)),4)</f>
        <v>6.9999999999999999E-4</v>
      </c>
      <c r="D26" s="188"/>
      <c r="E26" s="191"/>
      <c r="F26" s="189"/>
      <c r="G26" s="193"/>
    </row>
    <row r="27" spans="1:7" s="175" customFormat="1" ht="25.5">
      <c r="A27" s="1304" t="s">
        <v>2055</v>
      </c>
      <c r="B27" s="194" t="s">
        <v>2056</v>
      </c>
      <c r="C27" s="195">
        <f>C28</f>
        <v>266743</v>
      </c>
      <c r="D27" s="185">
        <f>C29</f>
        <v>5.0000000000000001E-3</v>
      </c>
      <c r="E27" s="186" t="s">
        <v>2042</v>
      </c>
      <c r="F27" s="196">
        <f>'数据-取费表'!E28</f>
        <v>0.25</v>
      </c>
      <c r="G27" s="197" t="s">
        <v>2057</v>
      </c>
    </row>
    <row r="28" spans="1:7" s="175" customFormat="1" ht="13.5" customHeight="1">
      <c r="A28" s="176" t="s">
        <v>2046</v>
      </c>
      <c r="B28" s="198" t="s">
        <v>2058</v>
      </c>
      <c r="C28" s="199">
        <f>ROUND((C5+C19+C20)*F27*'数据-取费表'!B22/'数据-取费表'!B21,0)</f>
        <v>266743</v>
      </c>
      <c r="D28" s="185"/>
      <c r="E28" s="186"/>
      <c r="F28" s="196"/>
      <c r="G28" s="197"/>
    </row>
    <row r="29" spans="1:7" s="175" customFormat="1" ht="13.5" customHeight="1">
      <c r="A29" s="176" t="s">
        <v>2020</v>
      </c>
      <c r="B29" s="198" t="s">
        <v>2059</v>
      </c>
      <c r="C29" s="188">
        <f>ROUND(C21*F27*'数据-取费表'!B22/'数据-取费表'!B21,4)</f>
        <v>5.0000000000000001E-3</v>
      </c>
      <c r="D29" s="185"/>
      <c r="E29" s="186"/>
      <c r="F29" s="196"/>
      <c r="G29" s="197"/>
    </row>
    <row r="30" spans="1:7" s="175" customFormat="1" ht="13.5" customHeight="1">
      <c r="A30" s="1304"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1529303</v>
      </c>
      <c r="D31" s="1540"/>
      <c r="E31" s="195"/>
      <c r="F31" s="1541"/>
      <c r="G31" s="184" t="s">
        <v>2064</v>
      </c>
    </row>
    <row r="32" spans="1:7" s="172" customFormat="1" ht="15.75">
      <c r="A32" s="201" t="s">
        <v>2065</v>
      </c>
      <c r="B32" s="202"/>
      <c r="C32" s="1542"/>
      <c r="D32" s="1542"/>
      <c r="E32" s="1542"/>
      <c r="F32" s="1542"/>
      <c r="G32" s="203"/>
    </row>
    <row r="33" spans="1:7" s="175" customFormat="1" ht="13.5" customHeight="1">
      <c r="A33" s="204" t="s">
        <v>2066</v>
      </c>
      <c r="B33" s="173" t="s">
        <v>2067</v>
      </c>
      <c r="C33" s="205">
        <f>SUM(C34:C38)</f>
        <v>229105</v>
      </c>
      <c r="D33" s="183"/>
      <c r="E33" s="1531"/>
      <c r="F33" s="191"/>
      <c r="G33" s="184"/>
    </row>
    <row r="34" spans="1:7" s="206" customFormat="1" ht="13.5" customHeight="1">
      <c r="A34" s="176" t="s">
        <v>2046</v>
      </c>
      <c r="B34" s="177" t="s">
        <v>2068</v>
      </c>
      <c r="C34" s="199">
        <f>IF(B1="仅计算典型户型",'数据-取费表'!F18,'数据-取费表'!E18)</f>
        <v>188155</v>
      </c>
      <c r="D34" s="1532"/>
      <c r="E34" s="199"/>
      <c r="F34" s="1543" t="str">
        <f>IF('数据-取费表'!B25=0,"",'数据-取费表'!E20)</f>
        <v/>
      </c>
      <c r="G34" s="179"/>
    </row>
    <row r="35" spans="1:7" ht="13.5" customHeight="1">
      <c r="A35" s="176" t="s">
        <v>2020</v>
      </c>
      <c r="B35" s="177" t="s">
        <v>2069</v>
      </c>
      <c r="C35" s="199">
        <f>ROUND(C34*F35,0)</f>
        <v>7526</v>
      </c>
      <c r="D35" s="199"/>
      <c r="E35" s="199"/>
      <c r="F35" s="1544">
        <f>'数据-取费表'!E21</f>
        <v>0.04</v>
      </c>
      <c r="G35" s="179" t="s">
        <v>2070</v>
      </c>
    </row>
    <row r="36" spans="1:7" ht="24">
      <c r="A36" s="176" t="s">
        <v>2022</v>
      </c>
      <c r="B36" s="177" t="s">
        <v>2071</v>
      </c>
      <c r="C36" s="199">
        <f>ROUND(IF('数据-取费表'!B10="住宅",C34*F36,0),0)</f>
        <v>15052</v>
      </c>
      <c r="D36" s="199"/>
      <c r="E36" s="199"/>
      <c r="F36" s="1544">
        <f>'数据-取费表'!E22</f>
        <v>0.08</v>
      </c>
      <c r="G36" s="207" t="s">
        <v>2072</v>
      </c>
    </row>
    <row r="37" spans="1:7" s="206" customFormat="1" ht="13.5" customHeight="1">
      <c r="A37" s="176" t="s">
        <v>2053</v>
      </c>
      <c r="B37" s="177" t="s">
        <v>2073</v>
      </c>
      <c r="C37" s="199">
        <f>ROUND(E37*D37,0)</f>
        <v>15550</v>
      </c>
      <c r="D37" s="1532">
        <f>IF(B1="仅计算典型户型",'数据-取费表'!E5,'数据-取费表'!B5)</f>
        <v>77.75</v>
      </c>
      <c r="E37" s="199">
        <f>'数据-取费表'!E23</f>
        <v>200</v>
      </c>
      <c r="F37" s="1544"/>
      <c r="G37" s="208" t="s">
        <v>2074</v>
      </c>
    </row>
    <row r="38" spans="1:7" ht="13.5" customHeight="1">
      <c r="A38" s="176" t="s">
        <v>2075</v>
      </c>
      <c r="B38" s="177" t="s">
        <v>2076</v>
      </c>
      <c r="C38" s="199">
        <f>ROUND(C34*F38,0)</f>
        <v>2822</v>
      </c>
      <c r="D38" s="199"/>
      <c r="E38" s="199"/>
      <c r="F38" s="1544">
        <f>'数据-取费表'!E24</f>
        <v>1.4999999999999999E-2</v>
      </c>
      <c r="G38" s="179" t="s">
        <v>2070</v>
      </c>
    </row>
    <row r="39" spans="1:7" s="175" customFormat="1" ht="13.5" customHeight="1">
      <c r="A39" s="204" t="s">
        <v>2035</v>
      </c>
      <c r="B39" s="173" t="s">
        <v>2038</v>
      </c>
      <c r="C39" s="183">
        <f>ROUND(C33*F20,0)</f>
        <v>4582</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8276</v>
      </c>
      <c r="D41" s="185">
        <f ca="1">C44</f>
        <v>6.9999999999999999E-4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8114</v>
      </c>
      <c r="D42" s="188"/>
      <c r="E42" s="188"/>
      <c r="F42" s="189"/>
      <c r="G42" s="2985" t="s">
        <v>2080</v>
      </c>
    </row>
    <row r="43" spans="1:7" ht="13.5" customHeight="1">
      <c r="A43" s="176" t="s">
        <v>2020</v>
      </c>
      <c r="B43" s="177" t="s">
        <v>2049</v>
      </c>
      <c r="C43" s="188">
        <f ca="1">ROUND(IF('数据-取费表'!B23&lt;=1,C39*F22*'数据-取费表'!B22/2,C39*(POWER((1+F22),'数据-取费表'!B22/2)-1)),0)</f>
        <v>162</v>
      </c>
      <c r="D43" s="188"/>
      <c r="E43" s="188"/>
      <c r="F43" s="189"/>
      <c r="G43" s="2986"/>
    </row>
    <row r="44" spans="1:7" ht="13.5" customHeight="1">
      <c r="A44" s="176" t="s">
        <v>2022</v>
      </c>
      <c r="B44" s="177" t="s">
        <v>2051</v>
      </c>
      <c r="C44" s="188">
        <f ca="1">ROUND(IF('数据-取费表'!B23&lt;=1,C40*F22*'数据-取费表'!B22/2,C40*(POWER((1+F22),'数据-取费表'!B22/2)-1)),4)</f>
        <v>6.9999999999999999E-4</v>
      </c>
      <c r="D44" s="188"/>
      <c r="E44" s="188"/>
      <c r="F44" s="189"/>
      <c r="G44" s="2987"/>
    </row>
    <row r="45" spans="1:7" s="175" customFormat="1" ht="13.5" customHeight="1">
      <c r="A45" s="204" t="s">
        <v>2044</v>
      </c>
      <c r="B45" s="194" t="s">
        <v>2056</v>
      </c>
      <c r="C45" s="195">
        <f>C46</f>
        <v>58422</v>
      </c>
      <c r="D45" s="185">
        <f>C47</f>
        <v>5.0000000000000001E-3</v>
      </c>
      <c r="E45" s="186" t="s">
        <v>2078</v>
      </c>
      <c r="F45" s="196"/>
      <c r="G45" s="197" t="s">
        <v>2081</v>
      </c>
    </row>
    <row r="46" spans="1:7" s="175" customFormat="1" ht="13.5" customHeight="1">
      <c r="A46" s="176" t="s">
        <v>2046</v>
      </c>
      <c r="B46" s="198" t="s">
        <v>2082</v>
      </c>
      <c r="C46" s="199">
        <f>ROUND((C33+C39)*F27,0)</f>
        <v>58422</v>
      </c>
      <c r="D46" s="209"/>
      <c r="E46" s="186"/>
      <c r="F46" s="196"/>
      <c r="G46" s="197"/>
    </row>
    <row r="47" spans="1:7" s="175" customFormat="1" ht="13.5" customHeight="1">
      <c r="A47" s="176" t="s">
        <v>2020</v>
      </c>
      <c r="B47" s="198" t="s">
        <v>2083</v>
      </c>
      <c r="C47" s="188">
        <f>ROUND(C40*F27,4)</f>
        <v>5.0000000000000001E-3</v>
      </c>
      <c r="D47" s="209"/>
      <c r="E47" s="186"/>
      <c r="F47" s="196"/>
      <c r="G47" s="197"/>
    </row>
    <row r="48" spans="1:7" s="175" customFormat="1" ht="13.5" customHeight="1">
      <c r="A48" s="1304" t="s">
        <v>2055</v>
      </c>
      <c r="B48" s="173" t="s">
        <v>2084</v>
      </c>
      <c r="C48" s="1819">
        <f>ROUND(F30/(1+'数据-取费表'!F30),4)</f>
        <v>5.2400000000000002E-2</v>
      </c>
      <c r="D48" s="186" t="s">
        <v>2078</v>
      </c>
      <c r="E48" s="183"/>
      <c r="F48" s="187"/>
      <c r="G48" s="184" t="s">
        <v>2085</v>
      </c>
    </row>
    <row r="49" spans="1:7" ht="16.5" customHeight="1">
      <c r="A49" s="1304" t="s">
        <v>2086</v>
      </c>
      <c r="B49" s="173" t="s">
        <v>2087</v>
      </c>
      <c r="C49" s="183">
        <f ca="1">ROUND((C33+C39+C41+C45)/(1-C40-D41-D45-C48),0)</f>
        <v>325833</v>
      </c>
      <c r="D49" s="183"/>
      <c r="E49" s="183"/>
      <c r="F49" s="210"/>
      <c r="G49" s="184" t="s">
        <v>2088</v>
      </c>
    </row>
    <row r="50" spans="1:7" s="206" customFormat="1" ht="24">
      <c r="A50" s="1304" t="s">
        <v>2089</v>
      </c>
      <c r="B50" s="173" t="s">
        <v>2090</v>
      </c>
      <c r="C50" s="183"/>
      <c r="D50" s="183"/>
      <c r="E50" s="183"/>
      <c r="F50" s="210">
        <f>IF('数据-取费表'!B25=0,'数据-取费表'!E20,1)</f>
        <v>0.96</v>
      </c>
      <c r="G50" s="197" t="s">
        <v>2091</v>
      </c>
    </row>
    <row r="51" spans="1:7" ht="16.5" customHeight="1">
      <c r="A51" s="1304" t="s">
        <v>2092</v>
      </c>
      <c r="B51" s="173" t="s">
        <v>2093</v>
      </c>
      <c r="C51" s="183">
        <f ca="1">ROUND(C49*F50,0)</f>
        <v>312800</v>
      </c>
      <c r="D51" s="183"/>
      <c r="E51" s="183"/>
      <c r="F51" s="210"/>
      <c r="G51" s="184" t="s">
        <v>2094</v>
      </c>
    </row>
    <row r="52" spans="1:7" s="172" customFormat="1" ht="16.5" thickBot="1">
      <c r="A52" s="211" t="s">
        <v>2095</v>
      </c>
      <c r="B52" s="212"/>
      <c r="C52" s="213">
        <f ca="1">C31+C51</f>
        <v>1842103</v>
      </c>
      <c r="D52" s="212"/>
      <c r="E52" s="212"/>
      <c r="F52" s="212"/>
      <c r="G52" s="214"/>
    </row>
    <row r="55" spans="1:7" ht="15">
      <c r="B55" s="216" t="s">
        <v>2096</v>
      </c>
      <c r="C55" s="217"/>
    </row>
    <row r="56" spans="1:7">
      <c r="B56" s="219" t="s">
        <v>2097</v>
      </c>
      <c r="C56" s="220">
        <f ca="1">ROUND(C51/C52,3)</f>
        <v>0.17</v>
      </c>
    </row>
    <row r="57" spans="1:7">
      <c r="B57" s="219" t="s">
        <v>2098</v>
      </c>
      <c r="C57" s="221">
        <f ca="1">1-C56</f>
        <v>0.83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9"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9"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4.0000000000000036E-2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0.08</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6" t="s">
        <v>1359</v>
      </c>
      <c r="B29" s="286" t="s">
        <v>1360</v>
      </c>
      <c r="C29" s="277">
        <f>ROUND((1+C24)*F28,4)</f>
        <v>0.25729999999999997</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D2" sqref="D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6" t="s">
        <v>2854</v>
      </c>
      <c r="E1" s="2707"/>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1604266</v>
      </c>
      <c r="C2" s="2335" t="str">
        <f>'数据-取费表'!B3</f>
        <v>元</v>
      </c>
      <c r="D2" s="1213"/>
      <c r="E2" s="1214"/>
      <c r="F2" s="1214"/>
      <c r="G2" s="1239"/>
      <c r="H2" s="729"/>
      <c r="I2" s="1215"/>
      <c r="J2" s="1215"/>
      <c r="K2" s="1216"/>
      <c r="L2" s="1215"/>
      <c r="M2" s="1215"/>
    </row>
    <row r="3" spans="1:37" ht="18" customHeight="1" thickBot="1">
      <c r="A3" s="310" t="s">
        <v>2010</v>
      </c>
      <c r="B3" s="766">
        <f ca="1">ROUND(IF('数据-取费表'!B28="租赁期内按合同租金",(C40+L47+J29)/F43,(C40+L47)/F43),0)</f>
        <v>20634</v>
      </c>
      <c r="C3" s="2335" t="s">
        <v>2100</v>
      </c>
      <c r="D3" s="1213"/>
      <c r="E3" s="1214"/>
      <c r="F3" s="1214"/>
      <c r="G3" s="1239"/>
      <c r="H3" s="311" t="s">
        <v>2101</v>
      </c>
      <c r="I3" s="1215"/>
      <c r="J3" s="1215"/>
      <c r="K3" s="1216"/>
      <c r="L3" s="1215"/>
      <c r="M3" s="1215"/>
    </row>
    <row r="4" spans="1:37" ht="18" customHeight="1">
      <c r="A4" s="312" t="s">
        <v>2102</v>
      </c>
      <c r="B4" s="313" t="s">
        <v>2103</v>
      </c>
      <c r="C4" s="313" t="s">
        <v>2104</v>
      </c>
      <c r="D4" s="313" t="s">
        <v>2105</v>
      </c>
      <c r="E4" s="314" t="s">
        <v>2106</v>
      </c>
      <c r="F4" s="315"/>
      <c r="G4" s="1237"/>
      <c r="H4" s="312" t="s">
        <v>2102</v>
      </c>
      <c r="I4" s="313" t="s">
        <v>2103</v>
      </c>
      <c r="J4" s="313" t="s">
        <v>2104</v>
      </c>
      <c r="K4" s="313" t="s">
        <v>2105</v>
      </c>
      <c r="L4" s="314" t="s">
        <v>2106</v>
      </c>
      <c r="M4" s="315"/>
    </row>
    <row r="5" spans="1:37" ht="18" customHeight="1">
      <c r="A5" s="316">
        <v>1</v>
      </c>
      <c r="B5" s="317" t="s">
        <v>2107</v>
      </c>
      <c r="C5" s="318">
        <f ca="1">C6+C10+C12</f>
        <v>43260</v>
      </c>
      <c r="D5" s="2336" t="s">
        <v>2108</v>
      </c>
      <c r="E5" s="1213"/>
      <c r="F5" s="1382"/>
      <c r="G5" s="1237"/>
      <c r="H5" s="316">
        <v>1</v>
      </c>
      <c r="I5" s="317" t="s">
        <v>2107</v>
      </c>
      <c r="J5" s="318">
        <f ca="1">J6+J10+J12</f>
        <v>0</v>
      </c>
      <c r="K5" s="2336" t="s">
        <v>2108</v>
      </c>
      <c r="L5" s="1213"/>
      <c r="M5" s="1382"/>
    </row>
    <row r="6" spans="1:37" ht="18" customHeight="1">
      <c r="A6" s="1383" t="s">
        <v>2109</v>
      </c>
      <c r="B6" s="2024" t="s">
        <v>2110</v>
      </c>
      <c r="C6" s="318">
        <f>ROUND(F6*F8*F7*(1-F9),0)</f>
        <v>43200</v>
      </c>
      <c r="D6" s="80" t="s">
        <v>2806</v>
      </c>
      <c r="E6" s="319" t="s">
        <v>2111</v>
      </c>
      <c r="F6" s="320">
        <f>'数据-取费表'!B29</f>
        <v>4000</v>
      </c>
      <c r="G6" s="1237"/>
      <c r="H6" s="1383" t="s">
        <v>2109</v>
      </c>
      <c r="I6" s="2024" t="s">
        <v>2110</v>
      </c>
      <c r="J6" s="318">
        <f>ROUND(M6*M8*M7*(1-M9),0)</f>
        <v>0</v>
      </c>
      <c r="K6" s="80" t="s">
        <v>2806</v>
      </c>
      <c r="L6" s="319" t="s">
        <v>2111</v>
      </c>
      <c r="M6" s="320">
        <f>'数据-取费表'!B36</f>
        <v>0</v>
      </c>
    </row>
    <row r="7" spans="1:37" ht="18" customHeight="1">
      <c r="A7" s="1446"/>
      <c r="B7" s="322"/>
      <c r="C7" s="323"/>
      <c r="D7" s="324"/>
      <c r="E7" s="319" t="s">
        <v>2112</v>
      </c>
      <c r="F7" s="320">
        <f>IF('数据-取费表'!B41="",IF(D1="仅计算典型户型",'数据-取费表'!E5,'数据-取费表'!B5),'数据-取费表'!B41)</f>
        <v>1</v>
      </c>
      <c r="G7" s="1237"/>
      <c r="H7" s="321"/>
      <c r="I7" s="322"/>
      <c r="J7" s="323"/>
      <c r="K7" s="324"/>
      <c r="L7" s="319" t="s">
        <v>2112</v>
      </c>
      <c r="M7" s="320">
        <f>IF('数据-取费表'!B41="",IF(D1="仅计算典型户型",'数据-取费表'!E5,'数据-取费表'!B5),'数据-取费表'!B41)</f>
        <v>1</v>
      </c>
    </row>
    <row r="8" spans="1:37" ht="18" customHeight="1">
      <c r="A8" s="1446"/>
      <c r="B8" s="322"/>
      <c r="C8" s="323"/>
      <c r="D8" s="324"/>
      <c r="E8" s="319" t="s">
        <v>2113</v>
      </c>
      <c r="F8" s="320">
        <f>'数据-取费表'!B42</f>
        <v>12</v>
      </c>
      <c r="G8" s="1237"/>
      <c r="H8" s="321"/>
      <c r="I8" s="322"/>
      <c r="J8" s="323"/>
      <c r="K8" s="324"/>
      <c r="L8" s="319" t="s">
        <v>2114</v>
      </c>
      <c r="M8" s="320">
        <f>'数据-取费表'!B42</f>
        <v>12</v>
      </c>
    </row>
    <row r="9" spans="1:37" ht="18" customHeight="1">
      <c r="A9" s="1446"/>
      <c r="B9" s="322"/>
      <c r="C9" s="323"/>
      <c r="D9" s="328"/>
      <c r="E9" s="319" t="s">
        <v>2115</v>
      </c>
      <c r="F9" s="329">
        <f>'数据-取费表'!B32</f>
        <v>0.1</v>
      </c>
      <c r="G9" s="1237"/>
      <c r="H9" s="321"/>
      <c r="I9" s="322"/>
      <c r="J9" s="1385"/>
      <c r="K9" s="95"/>
      <c r="L9" s="330" t="s">
        <v>2115</v>
      </c>
      <c r="M9" s="329">
        <f>'数据-取费表'!B38</f>
        <v>0</v>
      </c>
    </row>
    <row r="10" spans="1:37" ht="18" customHeight="1">
      <c r="A10" s="1383" t="s">
        <v>2116</v>
      </c>
      <c r="B10" s="2337" t="s">
        <v>2117</v>
      </c>
      <c r="C10" s="1384">
        <f ca="1">ROUND(IF(F10="押一",F6*F7*F8/12*F11,IF(F10="押二",F6*F7*F8/12*2*F11,IF(F10="押三",F6*F7*F8/12*3*F11,C11*F11))),0)</f>
        <v>60</v>
      </c>
      <c r="D10" s="2338" t="s">
        <v>2807</v>
      </c>
      <c r="E10" s="330" t="s">
        <v>2118</v>
      </c>
      <c r="F10" s="2339" t="s">
        <v>2119</v>
      </c>
      <c r="G10" s="1237"/>
      <c r="H10" s="1383" t="s">
        <v>2116</v>
      </c>
      <c r="I10" s="2337" t="s">
        <v>2117</v>
      </c>
      <c r="J10" s="1384">
        <f ca="1">ROUND(IF(M10="押一",M6*M8*M7/12*M11,IF(M10="押二",M6*M8*M7/12*2*M11,IF(M10="押三",M6*M8*M7/12*3*M11,J11*M11))),0)</f>
        <v>0</v>
      </c>
      <c r="K10" s="80" t="s">
        <v>2808</v>
      </c>
      <c r="L10" s="330" t="s">
        <v>2118</v>
      </c>
      <c r="M10" s="2339"/>
    </row>
    <row r="11" spans="1:37" s="341" customFormat="1" ht="18" customHeight="1">
      <c r="A11" s="348"/>
      <c r="B11" s="2340" t="s">
        <v>2120</v>
      </c>
      <c r="C11" s="1417"/>
      <c r="D11" s="324"/>
      <c r="E11" s="330" t="s">
        <v>2121</v>
      </c>
      <c r="F11" s="331">
        <f ca="1">'数据-取费表'!B30</f>
        <v>1.4999999999999999E-2</v>
      </c>
      <c r="G11" s="1238"/>
      <c r="H11" s="325"/>
      <c r="I11" s="2340" t="s">
        <v>2122</v>
      </c>
      <c r="J11" s="1417"/>
      <c r="K11" s="324"/>
      <c r="L11" s="330" t="s">
        <v>2121</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2123</v>
      </c>
      <c r="B12" s="2341" t="s">
        <v>2124</v>
      </c>
      <c r="C12" s="1424"/>
      <c r="D12" s="2342"/>
      <c r="E12" s="1430"/>
      <c r="F12" s="1425"/>
      <c r="G12" s="1237"/>
      <c r="H12" s="1423" t="s">
        <v>2123</v>
      </c>
      <c r="I12" s="2341" t="s">
        <v>2124</v>
      </c>
      <c r="J12" s="1424"/>
      <c r="K12" s="1440"/>
      <c r="L12" s="1430"/>
      <c r="M12" s="1441"/>
    </row>
    <row r="13" spans="1:37" s="341" customFormat="1" ht="18" customHeight="1" thickTop="1">
      <c r="A13" s="1419">
        <v>2</v>
      </c>
      <c r="B13" s="1420" t="s">
        <v>2125</v>
      </c>
      <c r="C13" s="327">
        <f ca="1">ROUND(C29*F13,0)</f>
        <v>312800</v>
      </c>
      <c r="D13" s="1421" t="s">
        <v>2126</v>
      </c>
      <c r="E13" s="1421" t="s">
        <v>2127</v>
      </c>
      <c r="F13" s="1422">
        <f>'数据-取费表'!E20</f>
        <v>0.96</v>
      </c>
      <c r="G13" s="1238"/>
      <c r="H13" s="1419">
        <v>2</v>
      </c>
      <c r="I13" s="1420" t="s">
        <v>2125</v>
      </c>
      <c r="J13" s="1385">
        <f ca="1">ROUND(J14*J15,0)</f>
        <v>0</v>
      </c>
      <c r="K13" s="1426" t="s">
        <v>2126</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188155</v>
      </c>
      <c r="D14" s="1888" t="s">
        <v>2130</v>
      </c>
      <c r="E14" s="1889"/>
      <c r="F14" s="979"/>
      <c r="G14" s="1238"/>
      <c r="H14" s="337" t="s">
        <v>2109</v>
      </c>
      <c r="I14" s="319" t="s">
        <v>2131</v>
      </c>
      <c r="J14" s="14">
        <f ca="1">C29</f>
        <v>325833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7526</v>
      </c>
      <c r="D15" s="339" t="s">
        <v>2134</v>
      </c>
      <c r="E15" s="339" t="s">
        <v>2135</v>
      </c>
      <c r="F15" s="340">
        <f>'数据-取费表'!E21</f>
        <v>0.04</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15052</v>
      </c>
      <c r="D16" s="319" t="s">
        <v>2134</v>
      </c>
      <c r="E16" s="319" t="s">
        <v>2135</v>
      </c>
      <c r="F16" s="342">
        <f>IF('数据-取费表'!B10="住宅",'数据-取费表'!E22,0)</f>
        <v>0.08</v>
      </c>
      <c r="G16" s="1238"/>
      <c r="H16" s="1419" t="s">
        <v>14</v>
      </c>
      <c r="I16" s="1420" t="s">
        <v>2140</v>
      </c>
      <c r="J16" s="327">
        <f ca="1">ROUND(J17+J22+J23+J24,0)</f>
        <v>4887</v>
      </c>
      <c r="K16" s="1426" t="s">
        <v>2141</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15550</v>
      </c>
      <c r="D17" s="319" t="s">
        <v>2144</v>
      </c>
      <c r="E17" s="319" t="s">
        <v>2145</v>
      </c>
      <c r="F17" s="16">
        <f>'数据-取费表'!E23</f>
        <v>200</v>
      </c>
      <c r="G17" s="1238"/>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2822</v>
      </c>
      <c r="D18" s="319" t="s">
        <v>2134</v>
      </c>
      <c r="E18" s="319" t="s">
        <v>2135</v>
      </c>
      <c r="F18" s="342">
        <f>'数据-取费表'!E24</f>
        <v>1.4999999999999999E-2</v>
      </c>
      <c r="G18" s="1237"/>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229105</v>
      </c>
      <c r="D19" s="56" t="s">
        <v>2156</v>
      </c>
      <c r="E19" s="1898"/>
      <c r="F19" s="16"/>
      <c r="G19" s="1238"/>
      <c r="H19" s="337" t="s">
        <v>2132</v>
      </c>
      <c r="I19" s="319" t="s">
        <v>2157</v>
      </c>
      <c r="J19" s="14" t="str">
        <f>IF(项目基本情况!B7="自然人","——",IF(K19="按租金收入计税",ROUND(J5*M19,1),ROUND(C29*M19*0.7,1)))</f>
        <v>——</v>
      </c>
      <c r="K19" s="2013" t="s">
        <v>2158</v>
      </c>
      <c r="L19" s="319" t="s">
        <v>2135</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4582</v>
      </c>
      <c r="D20" s="344" t="s">
        <v>2160</v>
      </c>
      <c r="E20" s="319" t="s">
        <v>2161</v>
      </c>
      <c r="F20" s="342">
        <f>'数据-取费表'!E25</f>
        <v>0.02</v>
      </c>
      <c r="G20" s="1238"/>
      <c r="H20" s="337" t="s">
        <v>2138</v>
      </c>
      <c r="I20" s="80" t="s">
        <v>2162</v>
      </c>
      <c r="J20" s="15" t="str">
        <f>IF(项目基本情况!B7="自然人","——",ROUND(M20*M21,0))</f>
        <v>——</v>
      </c>
      <c r="K20" s="346" t="s">
        <v>2163</v>
      </c>
      <c r="L20" s="319" t="s">
        <v>2164</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7"/>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7"/>
      <c r="H22" s="337" t="s">
        <v>2136</v>
      </c>
      <c r="I22" s="319" t="s">
        <v>2172</v>
      </c>
      <c r="J22" s="14">
        <f ca="1">ROUND(J14*M22,0)</f>
        <v>4887</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8276</v>
      </c>
      <c r="D23" s="2007" t="str">
        <f>IF(F23&lt;=1,"(建造成本+管理费用)×利率×(建设周期÷2)","(建造成本+管理费用)×((1+利率)^(建设周期÷2)-1)")</f>
        <v>(建造成本+管理费用)×((1+利率)^(建设周期÷2)-1)</v>
      </c>
      <c r="E23" s="319" t="s">
        <v>2175</v>
      </c>
      <c r="F23" s="347">
        <f>'数据-取费表'!B21</f>
        <v>1.5</v>
      </c>
      <c r="G23" s="1237"/>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6.9999999999999999E-4</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8"/>
      <c r="H25" s="1419" t="s">
        <v>22</v>
      </c>
      <c r="I25" s="1434" t="s">
        <v>2186</v>
      </c>
      <c r="J25" s="327">
        <f ca="1">J5-J16</f>
        <v>-4887</v>
      </c>
      <c r="K25" s="1435" t="s">
        <v>2187</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58422</v>
      </c>
      <c r="D26" s="344" t="s">
        <v>2189</v>
      </c>
      <c r="E26" s="330" t="s">
        <v>2190</v>
      </c>
      <c r="F26" s="329">
        <f>'数据-取费表'!E28</f>
        <v>0.25</v>
      </c>
      <c r="G26" s="791"/>
      <c r="H26" s="316" t="s">
        <v>23</v>
      </c>
      <c r="I26" s="317" t="s">
        <v>2191</v>
      </c>
      <c r="J26" s="318">
        <f ca="1">IF(J5&lt;&gt;0,ROUND(J25*(1-((1+M28)/(1+M26))^M27)/(M26-M28),0),0)</f>
        <v>0</v>
      </c>
      <c r="K26" s="346" t="s">
        <v>2192</v>
      </c>
      <c r="L26" s="319" t="s">
        <v>2193</v>
      </c>
      <c r="M26" s="329">
        <f>'数据-取费表'!B16</f>
        <v>0.04</v>
      </c>
    </row>
    <row r="27" spans="1:37" ht="18" customHeight="1">
      <c r="A27" s="337" t="s">
        <v>2194</v>
      </c>
      <c r="B27" s="319" t="s">
        <v>2195</v>
      </c>
      <c r="C27" s="14">
        <f>ROUND(F21*F26,4)</f>
        <v>5.0000000000000001E-3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29" t="s">
        <v>2203</v>
      </c>
      <c r="B29" s="1430" t="s">
        <v>2204</v>
      </c>
      <c r="C29" s="1431">
        <f ca="1">ROUND((C19+C20+C23+C26)/(1-F21-C24-C27-C28),0)</f>
        <v>325833</v>
      </c>
      <c r="D29" s="1432"/>
      <c r="E29" s="1430"/>
      <c r="F29" s="1433"/>
      <c r="G29" s="791"/>
      <c r="H29" s="356" t="s">
        <v>24</v>
      </c>
      <c r="I29" s="357" t="s">
        <v>2205</v>
      </c>
      <c r="J29" s="358">
        <f ca="1">ROUND(J26/(1+F40)^F41,0)</f>
        <v>0</v>
      </c>
      <c r="K29" s="359" t="s">
        <v>2206</v>
      </c>
      <c r="L29" s="360"/>
      <c r="M29" s="361">
        <f>IF(D1="仅计算典型户型",'数据-取费表'!E5,'数据-取费表'!B5)</f>
        <v>77.75</v>
      </c>
    </row>
    <row r="30" spans="1:37" ht="18" customHeight="1" thickTop="1">
      <c r="A30" s="1419" t="s">
        <v>14</v>
      </c>
      <c r="B30" s="1420" t="s">
        <v>2207</v>
      </c>
      <c r="C30" s="327">
        <f ca="1">ROUND(C31+C36+C37+C38,0)</f>
        <v>7952</v>
      </c>
      <c r="D30" s="1426" t="s">
        <v>2208</v>
      </c>
      <c r="E30" s="1427"/>
      <c r="F30" s="1428"/>
      <c r="G30" s="791"/>
      <c r="H30" s="1217"/>
      <c r="I30" s="1218"/>
      <c r="J30" s="1219"/>
      <c r="K30" s="1220"/>
      <c r="L30" s="1221"/>
      <c r="M30" s="1222"/>
    </row>
    <row r="31" spans="1:37" ht="18" customHeight="1">
      <c r="A31" s="337" t="s">
        <v>2109</v>
      </c>
      <c r="B31" s="319" t="s">
        <v>2147</v>
      </c>
      <c r="C31" s="14">
        <f ca="1">ROUND(IF(项目基本情况!B7="自然人",C5*F31,C32+C33+C34),1)</f>
        <v>2163</v>
      </c>
      <c r="D31" s="1888" t="s">
        <v>2209</v>
      </c>
      <c r="E31" s="1893" t="s">
        <v>2210</v>
      </c>
      <c r="F31" s="343">
        <f>IF(项目基本情况!B7="企业","",IF('数据-取费表'!B10="住宅",5%,IF(F6*F7*F8/12/(1+'数据-取费表'!F30)&gt;20000,12%,7%)))</f>
        <v>0.05</v>
      </c>
      <c r="G31" s="791"/>
      <c r="H31" s="1217"/>
      <c r="I31" s="1218"/>
      <c r="J31" s="1219"/>
      <c r="K31" s="1220"/>
      <c r="L31" s="1221"/>
      <c r="M31" s="1222"/>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3"/>
      <c r="I32" s="1224"/>
      <c r="J32" s="1225"/>
      <c r="K32" s="1226"/>
      <c r="L32" s="1227"/>
      <c r="M32" s="1228"/>
    </row>
    <row r="33" spans="1:18" ht="18" customHeight="1">
      <c r="A33" s="337" t="s">
        <v>2132</v>
      </c>
      <c r="B33" s="319" t="s">
        <v>2157</v>
      </c>
      <c r="C33" s="14" t="str">
        <f>IF(项目基本情况!B7="自然人","——",IF(D33="按租金收入计税",ROUND(C5*F33,1),IF(D33="按房产原值计税",ROUND(C29*F33*0.7,1),'数据-取费表'!B43)))</f>
        <v>——</v>
      </c>
      <c r="D33" s="2013" t="s">
        <v>2158</v>
      </c>
      <c r="E33" s="319" t="s">
        <v>2135</v>
      </c>
      <c r="F33" s="342">
        <f>IF(D33="按票据","——",IF(D33="按租金收入计税",'数据-取费表'!E39,'数据-取费表'!E38))</f>
        <v>1.2E-2</v>
      </c>
      <c r="G33" s="791"/>
      <c r="H33" s="1229"/>
      <c r="I33" s="363" t="s">
        <v>2213</v>
      </c>
      <c r="J33" s="364"/>
      <c r="K33" s="1230"/>
      <c r="L33" s="1229"/>
      <c r="M33" s="1229"/>
    </row>
    <row r="34" spans="1:18" ht="18" customHeight="1">
      <c r="A34" s="1383" t="s">
        <v>2138</v>
      </c>
      <c r="B34" s="80" t="s">
        <v>2162</v>
      </c>
      <c r="C34" s="15" t="str">
        <f>IF(项目基本情况!B7="自然人","——",ROUND(F34*F35,0))</f>
        <v>——</v>
      </c>
      <c r="D34" s="346" t="s">
        <v>2163</v>
      </c>
      <c r="E34" s="319" t="s">
        <v>2164</v>
      </c>
      <c r="F34" s="347">
        <f>'数据-取费表'!E40</f>
        <v>0</v>
      </c>
      <c r="G34" s="791"/>
      <c r="H34" s="1217"/>
      <c r="I34" s="365" t="s">
        <v>2214</v>
      </c>
      <c r="J34" s="366">
        <f ca="1">ROUND(C13*J35,0)</f>
        <v>25024</v>
      </c>
      <c r="K34" s="1231"/>
      <c r="L34" s="1232"/>
      <c r="M34" s="1232"/>
    </row>
    <row r="35" spans="1:18" ht="24.6" customHeight="1">
      <c r="A35" s="1387"/>
      <c r="B35" s="328"/>
      <c r="C35" s="19"/>
      <c r="D35" s="349"/>
      <c r="E35" s="319" t="s">
        <v>2169</v>
      </c>
      <c r="F35" s="320">
        <f>IF(D1="仅计算典型户型",'数据-取费表'!E6,'数据-取费表'!B6)</f>
        <v>0</v>
      </c>
      <c r="G35" s="791"/>
      <c r="H35" s="1217"/>
      <c r="I35" s="367" t="s">
        <v>2215</v>
      </c>
      <c r="J35" s="368">
        <f>'数据-取费表'!B17</f>
        <v>0.08</v>
      </c>
      <c r="K35" s="1230"/>
      <c r="L35" s="1229"/>
      <c r="M35" s="1229"/>
    </row>
    <row r="36" spans="1:18" ht="18" customHeight="1">
      <c r="A36" s="1386" t="s">
        <v>2116</v>
      </c>
      <c r="B36" s="319" t="s">
        <v>2216</v>
      </c>
      <c r="C36" s="14">
        <f ca="1">ROUND(C29*F36,0)</f>
        <v>4887</v>
      </c>
      <c r="D36" s="1893" t="s">
        <v>2217</v>
      </c>
      <c r="E36" s="319" t="s">
        <v>2161</v>
      </c>
      <c r="F36" s="350">
        <f>'数据-取费表'!B44</f>
        <v>1.4999999999999999E-2</v>
      </c>
      <c r="G36" s="791"/>
      <c r="H36" s="1229"/>
      <c r="I36" s="369" t="s">
        <v>2218</v>
      </c>
      <c r="J36" s="370"/>
      <c r="K36" s="1233"/>
      <c r="L36" s="1229"/>
      <c r="M36" s="1229"/>
    </row>
    <row r="37" spans="1:18" ht="18" customHeight="1">
      <c r="A37" s="337" t="s">
        <v>2165</v>
      </c>
      <c r="B37" s="319" t="s">
        <v>2176</v>
      </c>
      <c r="C37" s="14">
        <f ca="1">ROUND(C13*F37,0)</f>
        <v>469</v>
      </c>
      <c r="D37" s="1893" t="s">
        <v>2177</v>
      </c>
      <c r="E37" s="319" t="s">
        <v>2178</v>
      </c>
      <c r="F37" s="351">
        <f>'数据-取费表'!B45</f>
        <v>1.5E-3</v>
      </c>
      <c r="G37" s="791"/>
      <c r="H37" s="1229"/>
      <c r="I37" s="216" t="s">
        <v>2219</v>
      </c>
      <c r="J37" s="371"/>
      <c r="K37" s="1233"/>
      <c r="L37" s="1229"/>
      <c r="M37" s="1229"/>
    </row>
    <row r="38" spans="1:18" ht="18" customHeight="1" thickBot="1">
      <c r="A38" s="1429" t="s">
        <v>2170</v>
      </c>
      <c r="B38" s="1430" t="s">
        <v>2159</v>
      </c>
      <c r="C38" s="1431">
        <f ca="1">ROUND(C5*F38,0)</f>
        <v>433</v>
      </c>
      <c r="D38" s="1432" t="s">
        <v>2182</v>
      </c>
      <c r="E38" s="1430" t="s">
        <v>2178</v>
      </c>
      <c r="F38" s="1425">
        <f>'数据-取费表'!B46</f>
        <v>0.01</v>
      </c>
      <c r="G38" s="791"/>
      <c r="H38" s="1229"/>
      <c r="I38" s="365" t="s">
        <v>2220</v>
      </c>
      <c r="J38" s="220">
        <f ca="1">ROUND(J34/C39,3)</f>
        <v>0.70899999999999996</v>
      </c>
      <c r="K38" s="1234"/>
      <c r="L38" s="1229"/>
      <c r="M38" s="1229"/>
    </row>
    <row r="39" spans="1:18" ht="18" customHeight="1" thickTop="1">
      <c r="A39" s="1419" t="s">
        <v>22</v>
      </c>
      <c r="B39" s="1434" t="s">
        <v>2221</v>
      </c>
      <c r="C39" s="327">
        <f ca="1">C5-C30</f>
        <v>35308</v>
      </c>
      <c r="D39" s="1435" t="s">
        <v>2222</v>
      </c>
      <c r="E39" s="1436"/>
      <c r="F39" s="1437"/>
      <c r="G39" s="791"/>
      <c r="H39" s="1229"/>
      <c r="I39" s="365" t="s">
        <v>2223</v>
      </c>
      <c r="J39" s="220">
        <f ca="1">1-J38</f>
        <v>0.29100000000000004</v>
      </c>
      <c r="K39" s="1234"/>
      <c r="L39" s="1229"/>
      <c r="M39" s="1229"/>
    </row>
    <row r="40" spans="1:18" s="791" customFormat="1" ht="18" customHeight="1">
      <c r="A40" s="316" t="s">
        <v>23</v>
      </c>
      <c r="B40" s="317" t="s">
        <v>2224</v>
      </c>
      <c r="C40" s="318">
        <f ca="1">ROUND(C39*(1-((1+F42)/(1+F40))^F41)/(F40-F42),0)</f>
        <v>1604266</v>
      </c>
      <c r="D40" s="346" t="s">
        <v>2192</v>
      </c>
      <c r="E40" s="319" t="s">
        <v>2193</v>
      </c>
      <c r="F40" s="329">
        <f>'数据-取费表'!B16</f>
        <v>0.04</v>
      </c>
      <c r="H40" s="1235"/>
      <c r="I40" s="216" t="s">
        <v>2225</v>
      </c>
      <c r="J40" s="217"/>
      <c r="K40" s="1234"/>
      <c r="L40" s="1235"/>
      <c r="M40" s="1235"/>
      <c r="Q40" s="795"/>
    </row>
    <row r="41" spans="1:18" s="791" customFormat="1" ht="18" customHeight="1">
      <c r="A41" s="321"/>
      <c r="B41" s="322"/>
      <c r="C41" s="323"/>
      <c r="D41" s="354" t="s">
        <v>2226</v>
      </c>
      <c r="E41" s="1825" t="s">
        <v>2859</v>
      </c>
      <c r="F41" s="355">
        <f>IF('数据-取费表'!B28="租赁期内按合同租金",'数据-取费表'!B34,IF(E41="收益年期(n)",'数据-取费表'!B33,'数据-取费表'!B13))</f>
        <v>62.7</v>
      </c>
      <c r="H41" s="1236"/>
      <c r="I41" s="219" t="s">
        <v>2097</v>
      </c>
      <c r="J41" s="220">
        <f ca="1">ROUND(C13/C40,3)</f>
        <v>0.19500000000000001</v>
      </c>
      <c r="K41" s="1233"/>
      <c r="L41" s="1236"/>
      <c r="M41" s="1236"/>
      <c r="Q41" s="795"/>
    </row>
    <row r="42" spans="1:18" s="791" customFormat="1" ht="18" customHeight="1">
      <c r="A42" s="325"/>
      <c r="B42" s="326"/>
      <c r="C42" s="327"/>
      <c r="D42" s="349"/>
      <c r="E42" s="319" t="s">
        <v>2202</v>
      </c>
      <c r="F42" s="329">
        <f>'数据-取费表'!B31</f>
        <v>0.03</v>
      </c>
      <c r="H42" s="1236"/>
      <c r="I42" s="219" t="s">
        <v>2098</v>
      </c>
      <c r="J42" s="221">
        <f ca="1">1-J41</f>
        <v>0.80499999999999994</v>
      </c>
      <c r="K42" s="1233"/>
      <c r="L42" s="1236"/>
      <c r="M42" s="1236"/>
      <c r="Q42" s="795"/>
    </row>
    <row r="43" spans="1:18" s="791" customFormat="1" ht="18" customHeight="1" thickBot="1">
      <c r="A43" s="356" t="s">
        <v>24</v>
      </c>
      <c r="B43" s="357" t="s">
        <v>2227</v>
      </c>
      <c r="C43" s="358">
        <f ca="1">ROUND(C40/F43,0)</f>
        <v>20634</v>
      </c>
      <c r="D43" s="359" t="s">
        <v>2228</v>
      </c>
      <c r="E43" s="360" t="s">
        <v>2229</v>
      </c>
      <c r="F43" s="361">
        <f>IF(D1="仅计算典型户型",'数据-取费表'!E5,'数据-取费表'!B5)</f>
        <v>77.75</v>
      </c>
      <c r="G43" s="793"/>
      <c r="H43" s="1236"/>
      <c r="I43" s="1236"/>
      <c r="J43" s="1236"/>
      <c r="K43" s="1233"/>
      <c r="L43" s="1236"/>
      <c r="M43" s="1236"/>
      <c r="O43" s="1360" t="s">
        <v>2230</v>
      </c>
      <c r="P43" s="1361"/>
      <c r="Q43" s="1357"/>
      <c r="R43" s="1361"/>
    </row>
    <row r="44" spans="1:18" s="791" customFormat="1" ht="18" customHeight="1" thickBot="1">
      <c r="A44" s="776"/>
      <c r="B44" s="776"/>
      <c r="C44" s="790"/>
      <c r="D44" s="776"/>
      <c r="E44" s="776"/>
      <c r="F44" s="776"/>
      <c r="G44" s="793"/>
      <c r="K44" s="792"/>
      <c r="O44" s="1362" t="s">
        <v>2231</v>
      </c>
      <c r="P44" s="1363" t="s">
        <v>2232</v>
      </c>
      <c r="Q44" s="1364" t="s">
        <v>2233</v>
      </c>
      <c r="R44" s="1365" t="s">
        <v>2234</v>
      </c>
    </row>
    <row r="45" spans="1:18" s="791" customFormat="1" ht="18" customHeight="1" thickBot="1">
      <c r="A45" s="776"/>
      <c r="B45" s="776"/>
      <c r="C45" s="790"/>
      <c r="D45" s="776"/>
      <c r="E45" s="776"/>
      <c r="F45" s="776"/>
      <c r="G45" s="794"/>
      <c r="K45" s="792"/>
      <c r="O45" s="1366" t="s">
        <v>958</v>
      </c>
      <c r="P45" s="1367" t="s">
        <v>2235</v>
      </c>
      <c r="Q45" s="1368">
        <f ca="1">C40+J29</f>
        <v>1604266</v>
      </c>
      <c r="R45" s="1369" t="s">
        <v>2236</v>
      </c>
    </row>
    <row r="46" spans="1:18" s="791" customFormat="1" ht="18" customHeight="1" thickBot="1">
      <c r="A46" s="776"/>
      <c r="D46" s="776"/>
      <c r="E46" s="776"/>
      <c r="F46" s="776"/>
      <c r="K46" s="792"/>
      <c r="O46" s="1366" t="s">
        <v>959</v>
      </c>
      <c r="P46" s="1367" t="s">
        <v>2237</v>
      </c>
      <c r="Q46" s="1368" t="str">
        <f>J61</f>
        <v>0</v>
      </c>
      <c r="R46" s="1369" t="s">
        <v>2238</v>
      </c>
    </row>
    <row r="47" spans="1:18" s="791" customFormat="1" ht="21.75" thickBot="1">
      <c r="A47" s="2343" t="s">
        <v>2239</v>
      </c>
      <c r="C47" s="1302">
        <f ca="1">IF(C2="元",C69-C40,ROUND((C69-C40)/10000,0))</f>
        <v>-1726716</v>
      </c>
      <c r="D47" s="2344" t="str">
        <f>C2</f>
        <v>元</v>
      </c>
      <c r="E47" s="776"/>
      <c r="F47" s="776"/>
      <c r="I47" s="2345" t="s">
        <v>2240</v>
      </c>
      <c r="J47" s="1342"/>
      <c r="K47" s="1343"/>
      <c r="L47" s="1356">
        <f>IF(M48="住宅",0,IF(L49&gt;J52,L61,J61))</f>
        <v>0</v>
      </c>
      <c r="O47" s="1370" t="s">
        <v>960</v>
      </c>
      <c r="P47" s="1367" t="s">
        <v>2241</v>
      </c>
      <c r="Q47" s="1368">
        <f ca="1">C29</f>
        <v>325833</v>
      </c>
      <c r="R47" s="1369" t="s">
        <v>2236</v>
      </c>
    </row>
    <row r="48" spans="1:18" s="791" customFormat="1" ht="15.75" thickBot="1">
      <c r="A48" s="312" t="s">
        <v>2242</v>
      </c>
      <c r="B48" s="313" t="s">
        <v>2243</v>
      </c>
      <c r="C48" s="313" t="s">
        <v>2244</v>
      </c>
      <c r="D48" s="313" t="s">
        <v>2245</v>
      </c>
      <c r="E48" s="1296" t="s">
        <v>2246</v>
      </c>
      <c r="F48" s="1297"/>
      <c r="I48" s="2346" t="s">
        <v>2247</v>
      </c>
      <c r="J48" s="2347"/>
      <c r="K48" s="2348" t="s">
        <v>2248</v>
      </c>
      <c r="L48" s="1344">
        <f>'数据-取费表'!B11</f>
        <v>70</v>
      </c>
      <c r="M48" s="1357" t="str">
        <f>IF('数据-取费表'!B10="住宅","住宅","非住宅")</f>
        <v>住宅</v>
      </c>
      <c r="O48" s="1370" t="s">
        <v>961</v>
      </c>
      <c r="P48" s="1367" t="s">
        <v>2249</v>
      </c>
      <c r="Q48" s="1371" t="e">
        <f>J59</f>
        <v>#VALUE!</v>
      </c>
      <c r="R48" s="1369"/>
    </row>
    <row r="49" spans="1:18" s="791" customFormat="1" ht="15.75" thickBot="1">
      <c r="A49" s="1456" t="s">
        <v>1031</v>
      </c>
      <c r="B49" s="317" t="s">
        <v>2250</v>
      </c>
      <c r="C49" s="1457">
        <f ca="1">C50+C54+C56</f>
        <v>0</v>
      </c>
      <c r="D49" s="1458"/>
      <c r="E49" s="101"/>
      <c r="F49" s="16"/>
      <c r="I49" s="2349" t="s">
        <v>2251</v>
      </c>
      <c r="J49" s="2350"/>
      <c r="K49" s="2351" t="s">
        <v>2252</v>
      </c>
      <c r="L49" s="1127">
        <f>'数据-取费表'!B13</f>
        <v>62.7</v>
      </c>
      <c r="O49" s="1370" t="s">
        <v>962</v>
      </c>
      <c r="P49" s="1367" t="s">
        <v>2253</v>
      </c>
      <c r="Q49" s="1371">
        <f>J53</f>
        <v>0</v>
      </c>
      <c r="R49" s="1369"/>
    </row>
    <row r="50" spans="1:18" s="791" customFormat="1" ht="15.75" thickBot="1">
      <c r="A50" s="345" t="s">
        <v>2109</v>
      </c>
      <c r="B50" s="2024" t="s">
        <v>2254</v>
      </c>
      <c r="C50" s="318">
        <f>ROUND(F50*F52*F51*(1-F53),0)</f>
        <v>0</v>
      </c>
      <c r="D50" s="93" t="s">
        <v>2809</v>
      </c>
      <c r="E50" s="2352" t="s">
        <v>2255</v>
      </c>
      <c r="F50" s="1298"/>
      <c r="I50" s="2349" t="s">
        <v>2256</v>
      </c>
      <c r="J50" s="1127">
        <f>'数据-取费表'!B26</f>
        <v>2014</v>
      </c>
      <c r="K50" s="2353" t="s">
        <v>2257</v>
      </c>
      <c r="L50" s="1345"/>
      <c r="O50" s="1370" t="s">
        <v>963</v>
      </c>
      <c r="P50" s="1367" t="s">
        <v>2258</v>
      </c>
      <c r="Q50" s="1368">
        <f>J54</f>
        <v>-3</v>
      </c>
      <c r="R50" s="1369" t="s">
        <v>2259</v>
      </c>
    </row>
    <row r="51" spans="1:18" s="791" customFormat="1" ht="15.75" thickBot="1">
      <c r="A51" s="321"/>
      <c r="B51" s="322"/>
      <c r="C51" s="323"/>
      <c r="D51" s="324"/>
      <c r="E51" s="339" t="s">
        <v>2112</v>
      </c>
      <c r="F51" s="1295">
        <f>F7</f>
        <v>1</v>
      </c>
      <c r="I51" s="2349" t="s">
        <v>2260</v>
      </c>
      <c r="J51" s="1346">
        <f>SUMPRODUCT((I64:I66=J48)*(J63:L63=J49)*(J64:L66))</f>
        <v>0</v>
      </c>
      <c r="K51" s="2353" t="s">
        <v>2261</v>
      </c>
      <c r="L51" s="1345"/>
      <c r="O51" s="1366" t="s">
        <v>964</v>
      </c>
      <c r="P51" s="1367" t="str">
        <f>IF(C2="元","收益价值(元)","收益价值(万元)")</f>
        <v>收益价值(元)</v>
      </c>
      <c r="Q51" s="1368">
        <f ca="1">ROUND(IF(C2="元",Q45+Q46,(Q45+Q46)/10000),0)</f>
        <v>1604266</v>
      </c>
      <c r="R51" s="1369" t="s">
        <v>965</v>
      </c>
    </row>
    <row r="52" spans="1:18" s="791" customFormat="1" ht="16.5" thickBot="1">
      <c r="A52" s="321"/>
      <c r="B52" s="322"/>
      <c r="C52" s="323"/>
      <c r="D52" s="324"/>
      <c r="E52" s="319" t="s">
        <v>2114</v>
      </c>
      <c r="F52" s="320">
        <f>F8</f>
        <v>12</v>
      </c>
      <c r="I52" s="2354" t="s">
        <v>2262</v>
      </c>
      <c r="J52" s="1347">
        <f>IF(J50="",J51,J50+J51-YEAR('数据-取费表'!B2))</f>
        <v>-3</v>
      </c>
      <c r="K52" s="2355" t="s">
        <v>2263</v>
      </c>
      <c r="L52" s="1348">
        <f ca="1">ROUND(-PV('数据-取费表'!B15,L49,(C40-C13*J35)),0)</f>
        <v>39901798</v>
      </c>
      <c r="O52" s="1360" t="s">
        <v>2264</v>
      </c>
      <c r="P52" s="1361"/>
      <c r="Q52" s="1357"/>
      <c r="R52" s="1361"/>
    </row>
    <row r="53" spans="1:18" s="791" customFormat="1" ht="15.75" thickBot="1">
      <c r="A53" s="325"/>
      <c r="B53" s="326"/>
      <c r="C53" s="327"/>
      <c r="D53" s="328"/>
      <c r="E53" s="319" t="s">
        <v>2115</v>
      </c>
      <c r="F53" s="1355"/>
      <c r="I53" s="2356" t="s">
        <v>2265</v>
      </c>
      <c r="J53" s="1349"/>
      <c r="K53" s="2356" t="s">
        <v>2266</v>
      </c>
      <c r="L53" s="1349"/>
      <c r="O53" s="1362" t="s">
        <v>2231</v>
      </c>
      <c r="P53" s="1363" t="s">
        <v>2232</v>
      </c>
      <c r="Q53" s="1364" t="s">
        <v>2233</v>
      </c>
      <c r="R53" s="1365" t="s">
        <v>2234</v>
      </c>
    </row>
    <row r="54" spans="1:18" s="791" customFormat="1" ht="29.25" customHeight="1" thickBot="1">
      <c r="A54" s="1383" t="s">
        <v>2116</v>
      </c>
      <c r="B54" s="2337" t="s">
        <v>2117</v>
      </c>
      <c r="C54" s="1384">
        <f ca="1">ROUND(IF(F54="押一",F50*F51*F52/12*F11,IF(F54="押二",F50*F51*F52/12*2*F11,IF(F54="押三",F50*F51*F52/12*3*F11,C55*F11))),0)</f>
        <v>0</v>
      </c>
      <c r="D54" s="2338" t="s">
        <v>2807</v>
      </c>
      <c r="E54" s="330" t="s">
        <v>2118</v>
      </c>
      <c r="F54" s="2339"/>
      <c r="I54" s="2357" t="s">
        <v>2267</v>
      </c>
      <c r="J54" s="1350">
        <f>IF(M48="住宅",J52,IF(E1="——",MIN(J52,L49),IF(E1="在建（套用方法）",MIN(J52,L49-'数据-取费表'!B25),IF(E1="土地（套用方法）",MIN(J52,L49-'数据-取费表'!B21)))))</f>
        <v>-3</v>
      </c>
      <c r="K54" s="2988" t="s">
        <v>2805</v>
      </c>
      <c r="L54" s="2989"/>
      <c r="O54" s="1366" t="s">
        <v>958</v>
      </c>
      <c r="P54" s="1367" t="s">
        <v>2235</v>
      </c>
      <c r="Q54" s="1368">
        <f ca="1">C40+J29</f>
        <v>1604266</v>
      </c>
      <c r="R54" s="1369" t="s">
        <v>2236</v>
      </c>
    </row>
    <row r="55" spans="1:18" s="791" customFormat="1" ht="20.25" thickBot="1">
      <c r="A55" s="1383"/>
      <c r="B55" s="2358" t="s">
        <v>2122</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2268</v>
      </c>
      <c r="Q55" s="1368">
        <f>L61</f>
        <v>0</v>
      </c>
      <c r="R55" s="1369" t="s">
        <v>2269</v>
      </c>
    </row>
    <row r="56" spans="1:18" s="791" customFormat="1" ht="20.25" thickBot="1">
      <c r="A56" s="1423" t="s">
        <v>2123</v>
      </c>
      <c r="B56" s="2341" t="s">
        <v>2124</v>
      </c>
      <c r="C56" s="1424"/>
      <c r="D56" s="1440"/>
      <c r="E56" s="2361"/>
      <c r="F56" s="1500"/>
      <c r="I56" s="2362" t="s">
        <v>2270</v>
      </c>
      <c r="J56" s="1871" t="e">
        <f>ROUND(IF(J48="钢混",J58/J51,1-(1-2%)*(J51-J58)/J51),3)</f>
        <v>#VALUE!</v>
      </c>
      <c r="K56" s="2363" t="s">
        <v>2271</v>
      </c>
      <c r="L56" s="1351"/>
      <c r="O56" s="1370" t="s">
        <v>960</v>
      </c>
      <c r="P56" s="1367" t="s">
        <v>2272</v>
      </c>
      <c r="Q56" s="1368">
        <f>IF(L56="比较法",L50,IF(L56="基准地价",L51,0))</f>
        <v>0</v>
      </c>
      <c r="R56" s="1369" t="s">
        <v>2236</v>
      </c>
    </row>
    <row r="57" spans="1:18" s="791" customFormat="1" ht="44.25" thickTop="1" thickBot="1">
      <c r="A57" s="1419">
        <v>2</v>
      </c>
      <c r="B57" s="1420" t="s">
        <v>2125</v>
      </c>
      <c r="C57" s="1499">
        <f ca="1">C13</f>
        <v>312800</v>
      </c>
      <c r="D57" s="1293"/>
      <c r="E57" s="1294"/>
      <c r="F57" s="1301"/>
      <c r="I57" s="2364" t="s">
        <v>2273</v>
      </c>
      <c r="J57" s="1354"/>
      <c r="K57" s="2349" t="s">
        <v>2274</v>
      </c>
      <c r="L57" s="1127">
        <f>IF(L49&lt;J52,"——",L49-J52)</f>
        <v>65.7</v>
      </c>
      <c r="O57" s="1370" t="s">
        <v>961</v>
      </c>
      <c r="P57" s="1367" t="s">
        <v>2275</v>
      </c>
      <c r="Q57" s="1371">
        <f>L53</f>
        <v>0</v>
      </c>
      <c r="R57" s="1369"/>
    </row>
    <row r="58" spans="1:18" s="791" customFormat="1" ht="29.25" thickBot="1">
      <c r="A58" s="1300"/>
      <c r="B58" s="319" t="s">
        <v>2204</v>
      </c>
      <c r="C58" s="188">
        <f ca="1">C29</f>
        <v>325833</v>
      </c>
      <c r="D58" s="1293"/>
      <c r="E58" s="1294"/>
      <c r="F58" s="1301"/>
      <c r="I58" s="2365" t="s">
        <v>2276</v>
      </c>
      <c r="J58" s="1353" t="str">
        <f>IF(OR(M48="住宅",J52&lt;L49,J57="是"),"——",J52-L49)</f>
        <v>——</v>
      </c>
      <c r="K58" s="2349" t="s">
        <v>2277</v>
      </c>
      <c r="L58" s="1127">
        <f ca="1">IF(L49&lt;J52,"——",IF(L56="比较法",L50,IF(L56="基准地价",L51,L52)))</f>
        <v>39901798</v>
      </c>
      <c r="O58" s="1370" t="s">
        <v>962</v>
      </c>
      <c r="P58" s="1367" t="s">
        <v>2278</v>
      </c>
      <c r="Q58" s="1368" t="e">
        <f>L59</f>
        <v>#DIV/0!</v>
      </c>
      <c r="R58" s="1369" t="s">
        <v>2279</v>
      </c>
    </row>
    <row r="59" spans="1:18" s="791" customFormat="1" ht="29.25" thickBot="1">
      <c r="A59" s="332" t="s">
        <v>14</v>
      </c>
      <c r="B59" s="333" t="s">
        <v>2207</v>
      </c>
      <c r="C59" s="334">
        <f ca="1">ROUND(C60+C65+C66+C67,0)</f>
        <v>5356</v>
      </c>
      <c r="D59" s="12" t="s">
        <v>2208</v>
      </c>
      <c r="E59" s="1898"/>
      <c r="F59" s="16"/>
      <c r="I59" s="2365" t="s">
        <v>2280</v>
      </c>
      <c r="J59" s="1870" t="e">
        <f>IF(J56&lt;0.4,0.4,J56)</f>
        <v>#VALUE!</v>
      </c>
      <c r="K59" s="2355" t="s">
        <v>2281</v>
      </c>
      <c r="L59" s="1127" t="e">
        <f>ROUND(POWER(1+L53,L48-L49)*(POWER(1+L53,L49)-1)/(POWER(1+L53,L48)-1),4)</f>
        <v>#DIV/0!</v>
      </c>
      <c r="O59" s="1370" t="s">
        <v>963</v>
      </c>
      <c r="P59" s="1367" t="str">
        <f>K60</f>
        <v>建设期及建筑物耐用年限下的土地年期修正系数Kn</v>
      </c>
      <c r="Q59" s="1368" t="e">
        <f>L60</f>
        <v>#DIV/0!</v>
      </c>
      <c r="R59" s="1369"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5" t="s">
        <v>2283</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1604266</v>
      </c>
      <c r="R60" s="1369" t="s">
        <v>965</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6" t="s">
        <v>2284</v>
      </c>
      <c r="J61" s="1352" t="str">
        <f>IF(OR(M48="住宅",J52&lt;L49,J57="是"),"0",ROUND(J60/(1+J53)^J54,0))</f>
        <v>0</v>
      </c>
      <c r="K61" s="2367" t="s">
        <v>2285</v>
      </c>
      <c r="L61" s="1352">
        <f>IF(OR(M48="住宅",L49&lt;J52),0,ROUND(L58*(L59/L60-1),0))</f>
        <v>0</v>
      </c>
      <c r="O61" s="1360" t="s">
        <v>2286</v>
      </c>
      <c r="P61" s="1361"/>
      <c r="Q61" s="1357"/>
      <c r="R61" s="1361"/>
    </row>
    <row r="62" spans="1:18" s="791" customFormat="1" ht="15.75" thickBot="1">
      <c r="A62" s="337" t="s">
        <v>17</v>
      </c>
      <c r="B62" s="319" t="s">
        <v>2287</v>
      </c>
      <c r="C62" s="14" t="str">
        <f>IF(项目基本情况!B7="自然人","——",IF(D62="按租金收入计税",ROUND(C49*F62,1),IF(D62="按房产原值计税",ROUND(C58*F62*0.7,1),'数据-取费表'!B43)))</f>
        <v>——</v>
      </c>
      <c r="D62" s="2013" t="s">
        <v>2158</v>
      </c>
      <c r="E62" s="319" t="s">
        <v>2161</v>
      </c>
      <c r="F62" s="342">
        <f t="shared" si="0"/>
        <v>1.2E-2</v>
      </c>
      <c r="O62" s="1362" t="s">
        <v>2231</v>
      </c>
      <c r="P62" s="1363" t="s">
        <v>2232</v>
      </c>
      <c r="Q62" s="1364" t="s">
        <v>2233</v>
      </c>
      <c r="R62" s="1365" t="s">
        <v>2234</v>
      </c>
    </row>
    <row r="63" spans="1:18" s="791" customFormat="1" ht="15.75" thickBot="1">
      <c r="A63" s="345" t="s">
        <v>18</v>
      </c>
      <c r="B63" s="80" t="s">
        <v>2288</v>
      </c>
      <c r="C63" s="15" t="str">
        <f>IF(项目基本情况!B7="自然人","——",ROUND(F63*F64,0))</f>
        <v>——</v>
      </c>
      <c r="D63" s="346" t="s">
        <v>2289</v>
      </c>
      <c r="E63" s="319" t="s">
        <v>2290</v>
      </c>
      <c r="F63" s="347">
        <f t="shared" si="0"/>
        <v>0</v>
      </c>
      <c r="I63" s="2368" t="s">
        <v>2291</v>
      </c>
      <c r="J63" s="1874" t="s">
        <v>2292</v>
      </c>
      <c r="K63" s="1874" t="s">
        <v>2293</v>
      </c>
      <c r="L63" s="1874" t="s">
        <v>2294</v>
      </c>
      <c r="M63" s="1873" t="s">
        <v>2295</v>
      </c>
      <c r="O63" s="1366" t="s">
        <v>958</v>
      </c>
      <c r="P63" s="1367" t="s">
        <v>2235</v>
      </c>
      <c r="Q63" s="1368">
        <f ca="1">C40+J29</f>
        <v>1604266</v>
      </c>
      <c r="R63" s="1369" t="s">
        <v>2236</v>
      </c>
    </row>
    <row r="64" spans="1:18" s="791" customFormat="1" ht="20.25" thickBot="1">
      <c r="A64" s="348"/>
      <c r="B64" s="328"/>
      <c r="C64" s="19"/>
      <c r="D64" s="349"/>
      <c r="E64" s="319" t="s">
        <v>2296</v>
      </c>
      <c r="F64" s="320">
        <f t="shared" si="0"/>
        <v>0</v>
      </c>
      <c r="I64" s="2368" t="s">
        <v>2297</v>
      </c>
      <c r="J64" s="1874">
        <v>70</v>
      </c>
      <c r="K64" s="1874">
        <v>50</v>
      </c>
      <c r="L64" s="1874">
        <v>80</v>
      </c>
      <c r="M64" s="1872">
        <v>0.02</v>
      </c>
      <c r="O64" s="1366" t="s">
        <v>959</v>
      </c>
      <c r="P64" s="1367" t="s">
        <v>2268</v>
      </c>
      <c r="Q64" s="1368">
        <f>L61</f>
        <v>0</v>
      </c>
      <c r="R64" s="1369" t="s">
        <v>2269</v>
      </c>
    </row>
    <row r="65" spans="1:18" s="791" customFormat="1" ht="23.25" thickBot="1">
      <c r="A65" s="337" t="s">
        <v>19</v>
      </c>
      <c r="B65" s="319" t="s">
        <v>2216</v>
      </c>
      <c r="C65" s="14">
        <f ca="1">ROUND(C58*F65,0)</f>
        <v>4887</v>
      </c>
      <c r="D65" s="1893" t="s">
        <v>2217</v>
      </c>
      <c r="E65" s="319" t="s">
        <v>2161</v>
      </c>
      <c r="F65" s="350">
        <f t="shared" si="0"/>
        <v>1.4999999999999999E-2</v>
      </c>
      <c r="I65" s="2368" t="s">
        <v>2298</v>
      </c>
      <c r="J65" s="1874">
        <v>50</v>
      </c>
      <c r="K65" s="1874">
        <v>35</v>
      </c>
      <c r="L65" s="1874">
        <v>60</v>
      </c>
      <c r="M65" s="1873">
        <v>0</v>
      </c>
      <c r="O65" s="1370" t="s">
        <v>960</v>
      </c>
      <c r="P65" s="1367" t="s">
        <v>2272</v>
      </c>
      <c r="Q65" s="1372">
        <f ca="1">L52</f>
        <v>39901798</v>
      </c>
      <c r="R65" s="1373" t="s">
        <v>2299</v>
      </c>
    </row>
    <row r="66" spans="1:18" s="791" customFormat="1" ht="20.25" thickBot="1">
      <c r="A66" s="337" t="s">
        <v>20</v>
      </c>
      <c r="B66" s="319" t="s">
        <v>2176</v>
      </c>
      <c r="C66" s="14">
        <f ca="1">ROUND(C57*F66,0)</f>
        <v>469</v>
      </c>
      <c r="D66" s="1893" t="s">
        <v>2177</v>
      </c>
      <c r="E66" s="319" t="s">
        <v>2178</v>
      </c>
      <c r="F66" s="351">
        <f t="shared" si="0"/>
        <v>1.5E-3</v>
      </c>
      <c r="I66" s="2368" t="s">
        <v>2300</v>
      </c>
      <c r="J66" s="1874">
        <v>40</v>
      </c>
      <c r="K66" s="1874">
        <v>30</v>
      </c>
      <c r="L66" s="1874">
        <v>50</v>
      </c>
      <c r="M66" s="1872">
        <v>0.02</v>
      </c>
      <c r="O66" s="1370" t="s">
        <v>961</v>
      </c>
      <c r="P66" s="1374" t="s">
        <v>2301</v>
      </c>
      <c r="Q66" s="1368">
        <f ca="1">ROUND(Q67-Q68*Q69,0)</f>
        <v>10284</v>
      </c>
      <c r="R66" s="1369"/>
    </row>
    <row r="67" spans="1:18" s="791" customFormat="1" ht="15.75" thickBot="1">
      <c r="A67" s="337" t="s">
        <v>21</v>
      </c>
      <c r="B67" s="319" t="s">
        <v>2159</v>
      </c>
      <c r="C67" s="14">
        <f ca="1">ROUND(C49*F67,0)</f>
        <v>0</v>
      </c>
      <c r="D67" s="1893" t="s">
        <v>2182</v>
      </c>
      <c r="E67" s="319" t="s">
        <v>2178</v>
      </c>
      <c r="F67" s="329">
        <f t="shared" si="0"/>
        <v>0.01</v>
      </c>
      <c r="O67" s="1370" t="s">
        <v>966</v>
      </c>
      <c r="P67" s="1374" t="s">
        <v>2302</v>
      </c>
      <c r="Q67" s="1368">
        <f ca="1">C39</f>
        <v>35308</v>
      </c>
      <c r="R67" s="1369" t="s">
        <v>2236</v>
      </c>
    </row>
    <row r="68" spans="1:18" ht="15.75" thickBot="1">
      <c r="A68" s="332" t="s">
        <v>22</v>
      </c>
      <c r="B68" s="89" t="s">
        <v>2186</v>
      </c>
      <c r="C68" s="334">
        <f ca="1">C49-C59</f>
        <v>-5356</v>
      </c>
      <c r="D68" s="1888" t="s">
        <v>2187</v>
      </c>
      <c r="E68" s="1892"/>
      <c r="F68" s="353"/>
      <c r="H68" s="791"/>
      <c r="I68" s="791"/>
      <c r="J68" s="791"/>
      <c r="K68" s="791"/>
      <c r="L68" s="791"/>
      <c r="M68" s="791"/>
      <c r="O68" s="1370" t="s">
        <v>967</v>
      </c>
      <c r="P68" s="1374" t="s">
        <v>2303</v>
      </c>
      <c r="Q68" s="1368">
        <f ca="1">C13</f>
        <v>312800</v>
      </c>
      <c r="R68" s="1369" t="s">
        <v>2236</v>
      </c>
    </row>
    <row r="69" spans="1:18" ht="15.75" thickBot="1">
      <c r="A69" s="316" t="s">
        <v>23</v>
      </c>
      <c r="B69" s="317" t="s">
        <v>2224</v>
      </c>
      <c r="C69" s="318">
        <f ca="1">ROUND(C68*(1-((1+F71)/(1+F69))^F70)/(F69-F71),0)</f>
        <v>-122450</v>
      </c>
      <c r="D69" s="346" t="s">
        <v>2192</v>
      </c>
      <c r="E69" s="319" t="s">
        <v>2193</v>
      </c>
      <c r="F69" s="329">
        <f>F40</f>
        <v>0.04</v>
      </c>
      <c r="H69" s="791"/>
      <c r="I69" s="791"/>
      <c r="J69" s="791"/>
      <c r="K69" s="791"/>
      <c r="L69" s="791"/>
      <c r="M69" s="791"/>
      <c r="O69" s="1370" t="s">
        <v>968</v>
      </c>
      <c r="P69" s="1374" t="s">
        <v>2304</v>
      </c>
      <c r="Q69" s="1371">
        <f>J35</f>
        <v>0.08</v>
      </c>
      <c r="R69" s="1369"/>
    </row>
    <row r="70" spans="1:18" ht="15.75" thickBot="1">
      <c r="A70" s="321"/>
      <c r="B70" s="322"/>
      <c r="C70" s="323"/>
      <c r="D70" s="354" t="s">
        <v>2226</v>
      </c>
      <c r="E70" s="319" t="s">
        <v>2198</v>
      </c>
      <c r="F70" s="355">
        <f>F41</f>
        <v>62.7</v>
      </c>
      <c r="H70" s="791"/>
      <c r="I70" s="791"/>
      <c r="J70" s="791"/>
      <c r="K70" s="791"/>
      <c r="L70" s="791"/>
      <c r="M70" s="791"/>
      <c r="O70" s="1370" t="s">
        <v>962</v>
      </c>
      <c r="P70" s="1367" t="s">
        <v>2275</v>
      </c>
      <c r="Q70" s="1371">
        <f>L53</f>
        <v>0</v>
      </c>
      <c r="R70" s="1369"/>
    </row>
    <row r="71" spans="1:18" ht="20.25" thickBot="1">
      <c r="A71" s="325"/>
      <c r="B71" s="326"/>
      <c r="C71" s="327"/>
      <c r="D71" s="349"/>
      <c r="E71" s="319" t="s">
        <v>2202</v>
      </c>
      <c r="F71" s="1355"/>
      <c r="H71" s="791"/>
      <c r="M71" s="791"/>
      <c r="O71" s="1370" t="s">
        <v>963</v>
      </c>
      <c r="P71" s="1367" t="s">
        <v>2278</v>
      </c>
      <c r="Q71" s="1368" t="e">
        <f>L59</f>
        <v>#DIV/0!</v>
      </c>
      <c r="R71" s="1369" t="s">
        <v>2279</v>
      </c>
    </row>
    <row r="72" spans="1:18" ht="15.75" thickBot="1">
      <c r="A72" s="356" t="s">
        <v>24</v>
      </c>
      <c r="B72" s="357" t="s">
        <v>2227</v>
      </c>
      <c r="C72" s="358">
        <f ca="1">ROUND(C69/F72,0)</f>
        <v>-1575</v>
      </c>
      <c r="D72" s="359" t="s">
        <v>2228</v>
      </c>
      <c r="E72" s="360" t="s">
        <v>2229</v>
      </c>
      <c r="F72" s="361">
        <f>F43</f>
        <v>77.75</v>
      </c>
      <c r="O72" s="1370" t="s">
        <v>969</v>
      </c>
      <c r="P72" s="1367" t="str">
        <f>K60</f>
        <v>建设期及建筑物耐用年限下的土地年期修正系数Kn</v>
      </c>
      <c r="Q72" s="1368" t="e">
        <f>L60</f>
        <v>#DIV/0!</v>
      </c>
      <c r="R72" s="1369" t="s">
        <v>2282</v>
      </c>
    </row>
    <row r="73" spans="1:18" ht="15.75" thickBot="1">
      <c r="A73" s="791"/>
      <c r="B73" s="795"/>
      <c r="C73" s="795"/>
      <c r="D73" s="791"/>
      <c r="E73" s="791"/>
      <c r="F73" s="791"/>
      <c r="O73" s="1366" t="s">
        <v>964</v>
      </c>
      <c r="P73" s="1367" t="str">
        <f>IF(C2="元","收益价值(元)","收益价值(万元)")</f>
        <v>收益价值(元)</v>
      </c>
      <c r="Q73" s="1368">
        <f ca="1">ROUND(IF(C2="元",Q63+Q64,(Q63+Q64)/10000),0)</f>
        <v>1604266</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t="str">
        <f>项目基本情况!B4</f>
        <v>湖南省隆回县人民法院</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0" t="s">
        <v>1025</v>
      </c>
      <c r="B1" s="2991"/>
      <c r="C1" s="2992"/>
      <c r="D1" s="2993">
        <f>SUM(I10,I15,I20,I21,I23)</f>
        <v>0</v>
      </c>
      <c r="E1" s="2993"/>
      <c r="F1" s="2993"/>
      <c r="G1" s="2993"/>
      <c r="H1" s="2993"/>
      <c r="I1" s="2994"/>
    </row>
    <row r="2" spans="1:9">
      <c r="A2" s="2995" t="s">
        <v>1026</v>
      </c>
      <c r="B2" s="2996" t="s">
        <v>975</v>
      </c>
      <c r="C2" s="2996"/>
      <c r="D2" s="1388" t="s">
        <v>976</v>
      </c>
      <c r="E2" s="1388" t="s">
        <v>977</v>
      </c>
      <c r="F2" s="1388" t="s">
        <v>978</v>
      </c>
      <c r="G2" s="1388" t="s">
        <v>979</v>
      </c>
      <c r="H2" s="1388" t="s">
        <v>980</v>
      </c>
      <c r="I2" s="1389" t="s">
        <v>981</v>
      </c>
    </row>
    <row r="3" spans="1:9">
      <c r="A3" s="2995"/>
      <c r="B3" s="2996" t="s">
        <v>982</v>
      </c>
      <c r="C3" s="2996"/>
      <c r="D3" s="1390"/>
      <c r="E3" s="1388"/>
      <c r="F3" s="1391"/>
      <c r="G3" s="1391"/>
      <c r="H3" s="1392"/>
      <c r="I3" s="1393">
        <f>ROUND(D3*E3*F3*G3*H3/10000,0)</f>
        <v>0</v>
      </c>
    </row>
    <row r="4" spans="1:9">
      <c r="A4" s="2995"/>
      <c r="B4" s="2996" t="s">
        <v>983</v>
      </c>
      <c r="C4" s="2996"/>
      <c r="D4" s="1390"/>
      <c r="E4" s="1388"/>
      <c r="F4" s="1391"/>
      <c r="G4" s="1391"/>
      <c r="H4" s="1392"/>
      <c r="I4" s="1393">
        <f t="shared" ref="I4:I9" si="0">ROUND(D4*E4*F4*G4*H4/10000,0)</f>
        <v>0</v>
      </c>
    </row>
    <row r="5" spans="1:9">
      <c r="A5" s="2995"/>
      <c r="B5" s="2996" t="s">
        <v>984</v>
      </c>
      <c r="C5" s="2996"/>
      <c r="D5" s="1390"/>
      <c r="E5" s="1388"/>
      <c r="F5" s="1391"/>
      <c r="G5" s="1391"/>
      <c r="H5" s="1392"/>
      <c r="I5" s="1393">
        <f t="shared" si="0"/>
        <v>0</v>
      </c>
    </row>
    <row r="6" spans="1:9">
      <c r="A6" s="2995"/>
      <c r="B6" s="2996" t="s">
        <v>985</v>
      </c>
      <c r="C6" s="2996"/>
      <c r="D6" s="1390"/>
      <c r="E6" s="1388"/>
      <c r="F6" s="1391"/>
      <c r="G6" s="1391"/>
      <c r="H6" s="1392"/>
      <c r="I6" s="1393">
        <f t="shared" si="0"/>
        <v>0</v>
      </c>
    </row>
    <row r="7" spans="1:9">
      <c r="A7" s="2995"/>
      <c r="B7" s="2996" t="s">
        <v>986</v>
      </c>
      <c r="C7" s="2996"/>
      <c r="D7" s="1390"/>
      <c r="E7" s="1388"/>
      <c r="F7" s="1391"/>
      <c r="G7" s="1391"/>
      <c r="H7" s="1392"/>
      <c r="I7" s="1393">
        <f t="shared" si="0"/>
        <v>0</v>
      </c>
    </row>
    <row r="8" spans="1:9">
      <c r="A8" s="2995"/>
      <c r="B8" s="2996" t="s">
        <v>987</v>
      </c>
      <c r="C8" s="2996"/>
      <c r="D8" s="1390"/>
      <c r="E8" s="1388"/>
      <c r="F8" s="1391"/>
      <c r="G8" s="1391"/>
      <c r="H8" s="1392"/>
      <c r="I8" s="1393">
        <f t="shared" si="0"/>
        <v>0</v>
      </c>
    </row>
    <row r="9" spans="1:9">
      <c r="A9" s="2995"/>
      <c r="B9" s="2996" t="s">
        <v>988</v>
      </c>
      <c r="C9" s="2996"/>
      <c r="D9" s="1390"/>
      <c r="E9" s="1388"/>
      <c r="F9" s="1391"/>
      <c r="G9" s="1391"/>
      <c r="H9" s="1392"/>
      <c r="I9" s="1393">
        <f t="shared" si="0"/>
        <v>0</v>
      </c>
    </row>
    <row r="10" spans="1:9">
      <c r="A10" s="2995"/>
      <c r="B10" s="2997" t="s">
        <v>989</v>
      </c>
      <c r="C10" s="2997"/>
      <c r="D10" s="1394">
        <v>527</v>
      </c>
      <c r="E10" s="1394" t="e">
        <f>ROUND(D1*10000/D10/H9,0)</f>
        <v>#DIV/0!</v>
      </c>
      <c r="F10" s="1395"/>
      <c r="G10" s="1395"/>
      <c r="H10" s="1396"/>
      <c r="I10" s="1397">
        <f>SUM(I3:I9)</f>
        <v>0</v>
      </c>
    </row>
    <row r="11" spans="1:9" ht="14.25">
      <c r="A11" s="2995" t="s">
        <v>1027</v>
      </c>
      <c r="B11" s="2996" t="s">
        <v>990</v>
      </c>
      <c r="C11" s="2996"/>
      <c r="D11" s="1390" t="s">
        <v>991</v>
      </c>
      <c r="E11" s="1390" t="s">
        <v>992</v>
      </c>
      <c r="F11" s="1391" t="s">
        <v>993</v>
      </c>
      <c r="G11" s="1391" t="s">
        <v>980</v>
      </c>
      <c r="H11" s="1398" t="s">
        <v>994</v>
      </c>
      <c r="I11" s="1389" t="s">
        <v>981</v>
      </c>
    </row>
    <row r="12" spans="1:9">
      <c r="A12" s="2995"/>
      <c r="B12" s="2996" t="s">
        <v>995</v>
      </c>
      <c r="C12" s="2996"/>
      <c r="D12" s="1390"/>
      <c r="E12" s="1390"/>
      <c r="F12" s="1391"/>
      <c r="G12" s="1392"/>
      <c r="H12" s="1399"/>
      <c r="I12" s="1389">
        <f>ROUND(D12*E12*F12*G12/10000,0)</f>
        <v>0</v>
      </c>
    </row>
    <row r="13" spans="1:9">
      <c r="A13" s="2995"/>
      <c r="B13" s="2996" t="s">
        <v>996</v>
      </c>
      <c r="C13" s="2996"/>
      <c r="D13" s="1390"/>
      <c r="E13" s="1390"/>
      <c r="F13" s="1391"/>
      <c r="G13" s="1392"/>
      <c r="H13" s="1399"/>
      <c r="I13" s="1389">
        <f>ROUND(D13*E13*F13*G13/10000,0)</f>
        <v>0</v>
      </c>
    </row>
    <row r="14" spans="1:9">
      <c r="A14" s="2995"/>
      <c r="B14" s="2996" t="s">
        <v>997</v>
      </c>
      <c r="C14" s="2996"/>
      <c r="D14" s="1390"/>
      <c r="E14" s="1390"/>
      <c r="F14" s="1391"/>
      <c r="G14" s="1392"/>
      <c r="H14" s="1399"/>
      <c r="I14" s="1389">
        <f>ROUND(D14*E14*F14*G14/10000,0)</f>
        <v>0</v>
      </c>
    </row>
    <row r="15" spans="1:9">
      <c r="A15" s="2995"/>
      <c r="B15" s="2997" t="s">
        <v>989</v>
      </c>
      <c r="C15" s="2997"/>
      <c r="D15" s="1394"/>
      <c r="E15" s="1394">
        <f>SUM(E12:E14)</f>
        <v>0</v>
      </c>
      <c r="F15" s="1395"/>
      <c r="G15" s="1392"/>
      <c r="H15" s="1399"/>
      <c r="I15" s="1400">
        <f>SUM(I12:I14)</f>
        <v>0</v>
      </c>
    </row>
    <row r="16" spans="1:9" ht="24">
      <c r="A16" s="2995" t="s">
        <v>1028</v>
      </c>
      <c r="B16" s="2996" t="s">
        <v>998</v>
      </c>
      <c r="C16" s="2996"/>
      <c r="D16" s="1390" t="s">
        <v>976</v>
      </c>
      <c r="E16" s="1401" t="s">
        <v>999</v>
      </c>
      <c r="F16" s="1391" t="s">
        <v>1000</v>
      </c>
      <c r="G16" s="1392" t="s">
        <v>980</v>
      </c>
      <c r="H16" s="1398" t="s">
        <v>994</v>
      </c>
      <c r="I16" s="1389" t="s">
        <v>981</v>
      </c>
    </row>
    <row r="17" spans="1:9" ht="14.25">
      <c r="A17" s="2995"/>
      <c r="B17" s="2996" t="s">
        <v>1001</v>
      </c>
      <c r="C17" s="2996"/>
      <c r="D17" s="1390"/>
      <c r="E17" s="1390"/>
      <c r="F17" s="1391"/>
      <c r="G17" s="1392"/>
      <c r="H17" s="1402"/>
      <c r="I17" s="1403">
        <f>ROUND(D17*E17*F17*G17/10000,0)</f>
        <v>0</v>
      </c>
    </row>
    <row r="18" spans="1:9" ht="14.25">
      <c r="A18" s="2995"/>
      <c r="B18" s="2996" t="s">
        <v>1002</v>
      </c>
      <c r="C18" s="2996"/>
      <c r="D18" s="1390"/>
      <c r="E18" s="1390"/>
      <c r="F18" s="1391"/>
      <c r="G18" s="1392"/>
      <c r="H18" s="1402"/>
      <c r="I18" s="1403">
        <f>ROUND(D18*E18*F18*G18/10000,0)</f>
        <v>0</v>
      </c>
    </row>
    <row r="19" spans="1:9" ht="14.25">
      <c r="A19" s="2995"/>
      <c r="B19" s="2996" t="s">
        <v>1003</v>
      </c>
      <c r="C19" s="2996"/>
      <c r="D19" s="1390"/>
      <c r="E19" s="1390"/>
      <c r="F19" s="1391"/>
      <c r="G19" s="1392"/>
      <c r="H19" s="1402"/>
      <c r="I19" s="1403">
        <f>ROUND(D19*E19*F19*G19/10000,0)</f>
        <v>0</v>
      </c>
    </row>
    <row r="20" spans="1:9">
      <c r="A20" s="2995"/>
      <c r="B20" s="2997" t="s">
        <v>989</v>
      </c>
      <c r="C20" s="2997"/>
      <c r="D20" s="1394">
        <f>SUM(D17:D19)</f>
        <v>0</v>
      </c>
      <c r="E20" s="1394"/>
      <c r="F20" s="1395"/>
      <c r="G20" s="1392"/>
      <c r="H20" s="1399"/>
      <c r="I20" s="1400">
        <f>SUM(I17:I19)</f>
        <v>0</v>
      </c>
    </row>
    <row r="21" spans="1:9">
      <c r="A21" s="2995" t="s">
        <v>1029</v>
      </c>
      <c r="B21" s="2999"/>
      <c r="C21" s="2999"/>
      <c r="D21" s="2999"/>
      <c r="E21" s="2999"/>
      <c r="F21" s="2999"/>
      <c r="G21" s="2999"/>
      <c r="H21" s="1404">
        <v>0.1</v>
      </c>
      <c r="I21" s="1397">
        <f>ROUND(I10*H21,0)</f>
        <v>0</v>
      </c>
    </row>
    <row r="22" spans="1:9" ht="14.25">
      <c r="A22" s="3000" t="s">
        <v>1030</v>
      </c>
      <c r="B22" s="3001"/>
      <c r="C22" s="3002"/>
      <c r="D22" s="1405" t="s">
        <v>1004</v>
      </c>
      <c r="E22" s="1405" t="s">
        <v>1005</v>
      </c>
      <c r="F22" s="1406" t="s">
        <v>980</v>
      </c>
      <c r="G22" s="1406" t="s">
        <v>1006</v>
      </c>
      <c r="H22" s="1398" t="s">
        <v>994</v>
      </c>
      <c r="I22" s="1389" t="s">
        <v>981</v>
      </c>
    </row>
    <row r="23" spans="1:9" ht="14.25" thickBot="1">
      <c r="A23" s="3003"/>
      <c r="B23" s="3004"/>
      <c r="C23" s="3005"/>
      <c r="D23" s="1407"/>
      <c r="E23" s="1407"/>
      <c r="F23" s="1407"/>
      <c r="G23" s="1408"/>
      <c r="H23" s="1409"/>
      <c r="I23" s="1410">
        <f>ROUND(E23*D23*F23*(1-G23)/10000,0)</f>
        <v>0</v>
      </c>
    </row>
    <row r="26" spans="1:9">
      <c r="A26" s="1411" t="s">
        <v>1007</v>
      </c>
      <c r="B26" s="1411"/>
      <c r="C26" s="1411"/>
      <c r="D26" s="1411"/>
      <c r="E26" s="3006">
        <f>C27-C30-C31-C32</f>
        <v>0</v>
      </c>
      <c r="F26" s="3006"/>
      <c r="G26" s="3006"/>
      <c r="H26" s="1829" t="s">
        <v>1221</v>
      </c>
    </row>
    <row r="27" spans="1:9">
      <c r="A27" s="1412">
        <v>1</v>
      </c>
      <c r="B27" s="1413" t="s">
        <v>1008</v>
      </c>
      <c r="C27" s="1413">
        <f>C28+C29</f>
        <v>0</v>
      </c>
      <c r="D27" s="1413"/>
      <c r="E27" s="3007"/>
      <c r="F27" s="3007"/>
      <c r="G27" s="3007"/>
    </row>
    <row r="28" spans="1:9">
      <c r="A28" s="1414" t="s">
        <v>1009</v>
      </c>
      <c r="B28" s="1413" t="s">
        <v>1010</v>
      </c>
      <c r="C28" s="1413"/>
      <c r="D28" s="1413"/>
      <c r="E28" s="3007"/>
      <c r="F28" s="3007"/>
      <c r="G28" s="300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98"/>
      <c r="F32" s="2998"/>
      <c r="G32" s="2998"/>
    </row>
    <row r="33" spans="1:7" hidden="1">
      <c r="A33" s="3008" t="s">
        <v>1019</v>
      </c>
      <c r="B33" s="3009"/>
      <c r="C33" s="3009"/>
      <c r="D33" s="3010"/>
      <c r="E33" s="3006"/>
      <c r="F33" s="3006"/>
      <c r="G33" s="3006"/>
    </row>
    <row r="34" spans="1:7" hidden="1">
      <c r="A34" s="1416">
        <v>1</v>
      </c>
      <c r="B34" s="1413" t="s">
        <v>1020</v>
      </c>
      <c r="C34" s="1413"/>
      <c r="D34" s="1413"/>
      <c r="E34" s="3007"/>
      <c r="F34" s="3007"/>
      <c r="G34" s="3007"/>
    </row>
    <row r="35" spans="1:7" hidden="1">
      <c r="A35" s="1416">
        <v>2</v>
      </c>
      <c r="B35" s="1413" t="s">
        <v>1021</v>
      </c>
      <c r="C35" s="1413"/>
      <c r="D35" s="1413"/>
      <c r="E35" s="3007"/>
      <c r="F35" s="3007"/>
      <c r="G35" s="3007"/>
    </row>
    <row r="36" spans="1:7" hidden="1">
      <c r="A36" s="1416">
        <v>3</v>
      </c>
      <c r="B36" s="1413" t="s">
        <v>1022</v>
      </c>
      <c r="C36" s="1413"/>
      <c r="D36" s="1413"/>
      <c r="E36" s="3007"/>
      <c r="F36" s="3007"/>
      <c r="G36" s="3007"/>
    </row>
    <row r="37" spans="1:7" hidden="1">
      <c r="A37" s="1416">
        <v>4</v>
      </c>
      <c r="B37" s="1413" t="s">
        <v>1023</v>
      </c>
      <c r="C37" s="1413"/>
      <c r="D37" s="1413"/>
      <c r="E37" s="3007"/>
      <c r="F37" s="3007"/>
      <c r="G37" s="3007"/>
    </row>
    <row r="38" spans="1:7" hidden="1">
      <c r="A38" s="3008" t="s">
        <v>1024</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t="e">
        <f>B24</f>
        <v>#DIV/0!</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14" t="s">
        <v>2310</v>
      </c>
      <c r="D4" s="3015"/>
      <c r="E4" s="3015"/>
      <c r="F4" s="3015"/>
      <c r="G4" s="3015"/>
      <c r="H4" s="3015"/>
      <c r="I4" s="3015"/>
      <c r="J4" s="3015"/>
      <c r="K4" s="3015"/>
      <c r="L4" s="3015"/>
      <c r="M4" s="3015"/>
      <c r="N4" s="3015"/>
      <c r="O4" s="3015"/>
      <c r="P4" s="3015"/>
      <c r="Q4" s="3015"/>
      <c r="R4" s="3015"/>
      <c r="S4" s="3016"/>
      <c r="T4" s="678" t="s">
        <v>2311</v>
      </c>
      <c r="U4" s="1311"/>
      <c r="V4" s="1311"/>
      <c r="X4" s="1311"/>
      <c r="Y4" s="1311"/>
    </row>
    <row r="5" spans="1:44" s="692" customFormat="1">
      <c r="A5" s="1321"/>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2313</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2314</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2315</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2316</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2317</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2318</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2319</v>
      </c>
      <c r="B20" s="2370" t="s">
        <v>2320</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2321</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2322</v>
      </c>
      <c r="B23" s="308">
        <f>IF(F23="——",IF(C23="万元",T25,S25),IF(C23="万元",T25-H23,S25-H23))</f>
        <v>0</v>
      </c>
      <c r="C23" s="2372" t="str">
        <f>'数据-取费表'!B3</f>
        <v>元</v>
      </c>
      <c r="D23" s="84"/>
      <c r="E23" s="84"/>
      <c r="F23" s="2373" t="s">
        <v>1255</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2323</v>
      </c>
      <c r="B24" s="308" t="e">
        <f>R25</f>
        <v>#DIV/0!</v>
      </c>
      <c r="C24" s="1143"/>
      <c r="D24" s="84"/>
      <c r="E24" s="84"/>
      <c r="F24" s="84"/>
      <c r="G24" s="84"/>
      <c r="H24" s="84"/>
      <c r="I24" s="84"/>
      <c r="J24" s="84"/>
      <c r="K24" s="84"/>
      <c r="L24" s="84"/>
      <c r="M24" s="84"/>
      <c r="N24" s="84"/>
      <c r="O24" s="84"/>
      <c r="P24" s="84"/>
      <c r="Q24" s="84"/>
      <c r="R24" s="769"/>
      <c r="S24" s="14" t="s">
        <v>2324</v>
      </c>
      <c r="T24" s="1897" t="s">
        <v>2325</v>
      </c>
      <c r="U24" s="2375" t="s">
        <v>2326</v>
      </c>
      <c r="V24" s="1341"/>
      <c r="W24" s="2376" t="s">
        <v>2327</v>
      </c>
      <c r="X24" s="2375" t="s">
        <v>2328</v>
      </c>
      <c r="Y24" s="1341"/>
      <c r="Z24" s="2377" t="s">
        <v>2327</v>
      </c>
    </row>
    <row r="25" spans="1:45">
      <c r="A25" s="334" t="s">
        <v>2329</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79" t="s">
        <v>2336</v>
      </c>
      <c r="W26" s="2380" t="s">
        <v>2337</v>
      </c>
      <c r="X26" s="1883" t="s">
        <v>2335</v>
      </c>
      <c r="Y26" s="2379" t="s">
        <v>2336</v>
      </c>
      <c r="Z26" s="2380"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65" zoomScale="90" zoomScaleNormal="90" workbookViewId="0">
      <selection activeCell="E95" sqref="E9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2854</v>
      </c>
      <c r="D1" s="2381"/>
      <c r="E1" s="2382" t="s">
        <v>2855</v>
      </c>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2717518</v>
      </c>
      <c r="C2" s="163" t="str">
        <f>'数据-取费表'!B3</f>
        <v>元</v>
      </c>
      <c r="D2" s="2384" t="s">
        <v>1255</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2010</v>
      </c>
      <c r="B3" s="378">
        <f>ROUND(IF(D2="——",C49,IF(C2="万元",B2*10000/D3,B2/D3)),0)</f>
        <v>34952</v>
      </c>
      <c r="C3" s="379" t="s">
        <v>2342</v>
      </c>
      <c r="D3" s="378">
        <f>IF(C1="仅计算典型户型",'数据-取费表'!E5,'数据-取费表'!B5)</f>
        <v>77.75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2343</v>
      </c>
      <c r="B4" s="381"/>
      <c r="C4" s="3020" t="s">
        <v>2344</v>
      </c>
      <c r="D4" s="3021"/>
      <c r="E4" s="3022" t="s">
        <v>2345</v>
      </c>
      <c r="F4" s="3023"/>
      <c r="G4" s="3020" t="s">
        <v>2346</v>
      </c>
      <c r="H4" s="3021"/>
      <c r="I4" s="3020" t="s">
        <v>2347</v>
      </c>
      <c r="J4" s="3021"/>
      <c r="K4" s="2395"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17" t="s">
        <v>2346</v>
      </c>
      <c r="AC4" s="3017" t="s">
        <v>2347</v>
      </c>
    </row>
    <row r="5" spans="1:29" ht="15">
      <c r="A5" s="383"/>
      <c r="B5" s="384"/>
      <c r="C5" s="3039" t="str">
        <f>项目基本情况!C8</f>
        <v>北京市通州区马驹桥镇兴贸二街5号院14号楼1单元2层202号住宅用房</v>
      </c>
      <c r="D5" s="3040"/>
      <c r="E5" s="3037" t="s">
        <v>2865</v>
      </c>
      <c r="F5" s="3038"/>
      <c r="G5" s="3039" t="str">
        <f>E5</f>
        <v>国风美仑</v>
      </c>
      <c r="H5" s="3040"/>
      <c r="I5" s="3039" t="str">
        <f>E5</f>
        <v>国风美仑</v>
      </c>
      <c r="J5" s="3040"/>
      <c r="K5" s="2396"/>
      <c r="L5" s="1242"/>
      <c r="M5" s="1243"/>
      <c r="N5" s="1243"/>
      <c r="O5" s="1243"/>
      <c r="P5" s="3026"/>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2396" t="s">
        <v>2355</v>
      </c>
      <c r="L6" s="1242"/>
      <c r="M6" s="1243"/>
      <c r="N6" s="1243"/>
      <c r="O6" s="1243"/>
      <c r="P6" s="302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391">
        <f>案例!M58</f>
        <v>43066</v>
      </c>
      <c r="F7" s="392">
        <f>SUMIF(58:58,YEAR(E7)&amp;"-"&amp;MONTH(E7),59:59)</f>
        <v>100</v>
      </c>
      <c r="G7" s="391">
        <v>43029</v>
      </c>
      <c r="H7" s="390">
        <f>SUMIF(58:58,YEAR(G7)&amp;"-"&amp;MONTH(G7),59:59)</f>
        <v>100</v>
      </c>
      <c r="I7" s="391">
        <v>43026</v>
      </c>
      <c r="J7" s="390">
        <f>SUMIF(58:58,YEAR(I7)&amp;"-"&amp;MONTH(I7),59:59)</f>
        <v>100</v>
      </c>
      <c r="K7" s="2397"/>
      <c r="L7" s="1244"/>
      <c r="M7" s="1245"/>
      <c r="N7" s="1245"/>
      <c r="O7" s="1245"/>
      <c r="P7" s="3052" t="s">
        <v>2357</v>
      </c>
      <c r="Q7" s="3054"/>
      <c r="R7" s="749" t="s">
        <v>34</v>
      </c>
      <c r="S7" s="750">
        <f t="shared" ref="S7:S15" si="0">F7</f>
        <v>100</v>
      </c>
      <c r="T7" s="749" t="s">
        <v>34</v>
      </c>
      <c r="U7" s="750">
        <f t="shared" ref="U7:U15" si="1">H7</f>
        <v>100</v>
      </c>
      <c r="V7" s="749" t="s">
        <v>34</v>
      </c>
      <c r="W7" s="750">
        <f t="shared" ref="W7:W15" si="2">J7</f>
        <v>100</v>
      </c>
      <c r="X7" s="751"/>
      <c r="Y7" s="3052" t="s">
        <v>2357</v>
      </c>
      <c r="Z7" s="3053"/>
      <c r="AA7" s="752">
        <f>D7/F7</f>
        <v>1</v>
      </c>
      <c r="AB7" s="752">
        <f>D7/H7</f>
        <v>1</v>
      </c>
      <c r="AC7" s="752">
        <f>D7/J7</f>
        <v>1</v>
      </c>
    </row>
    <row r="8" spans="1:29" s="35" customFormat="1" ht="15.75" thickBot="1">
      <c r="A8" s="387" t="s">
        <v>2358</v>
      </c>
      <c r="B8" s="388"/>
      <c r="C8" s="394" t="s">
        <v>2359</v>
      </c>
      <c r="D8" s="390">
        <v>100</v>
      </c>
      <c r="E8" s="2398" t="s">
        <v>2862</v>
      </c>
      <c r="F8" s="392">
        <f>SUMIF(61:61,E8,62:62)-SUMIF(61:61,C8,62:62)+100</f>
        <v>100</v>
      </c>
      <c r="G8" s="394" t="s">
        <v>2862</v>
      </c>
      <c r="H8" s="390">
        <f>SUMIF(61:61,G8,62:62)-SUMIF(61:61,C8,62:62)+100</f>
        <v>100</v>
      </c>
      <c r="I8" s="2398" t="s">
        <v>2862</v>
      </c>
      <c r="J8" s="390">
        <f>SUMIF(61:61,I8,62:62)-SUMIF(61:61,C8,62:62)+100</f>
        <v>100</v>
      </c>
      <c r="K8" s="2397"/>
      <c r="L8" s="1244"/>
      <c r="M8" s="1245"/>
      <c r="N8" s="1245"/>
      <c r="O8" s="1245"/>
      <c r="P8" s="3052" t="s">
        <v>2360</v>
      </c>
      <c r="Q8" s="3053"/>
      <c r="R8" s="749" t="s">
        <v>34</v>
      </c>
      <c r="S8" s="750">
        <f t="shared" si="0"/>
        <v>100</v>
      </c>
      <c r="T8" s="749" t="s">
        <v>34</v>
      </c>
      <c r="U8" s="750">
        <f t="shared" si="1"/>
        <v>100</v>
      </c>
      <c r="V8" s="749" t="s">
        <v>34</v>
      </c>
      <c r="W8" s="750">
        <f t="shared" si="2"/>
        <v>100</v>
      </c>
      <c r="X8" s="751"/>
      <c r="Y8" s="3052" t="s">
        <v>2360</v>
      </c>
      <c r="Z8" s="3053"/>
      <c r="AA8" s="752">
        <f t="shared" ref="AA8:AA46" si="3">D8/F8</f>
        <v>1</v>
      </c>
      <c r="AB8" s="752">
        <f t="shared" ref="AB8:AB46" si="4">D8/H8</f>
        <v>1</v>
      </c>
      <c r="AC8" s="752">
        <f t="shared" ref="AC8:AC46" si="5">D8/J8</f>
        <v>1</v>
      </c>
    </row>
    <row r="9" spans="1:29" s="35" customFormat="1">
      <c r="A9" s="395" t="s">
        <v>2361</v>
      </c>
      <c r="B9" s="28" t="s">
        <v>2362</v>
      </c>
      <c r="C9" s="2742" t="s">
        <v>2856</v>
      </c>
      <c r="D9" s="51">
        <v>100</v>
      </c>
      <c r="E9" s="397" t="s">
        <v>2825</v>
      </c>
      <c r="F9" s="398">
        <f>SUMIF(63:63,E9,64:64)-SUMIF(63:63,C9,64:64)+100</f>
        <v>100</v>
      </c>
      <c r="G9" s="399" t="s">
        <v>2825</v>
      </c>
      <c r="H9" s="51">
        <f>SUMIF(63:63,G9,64:64)-SUMIF(63:63,C9,64:64)+100</f>
        <v>100</v>
      </c>
      <c r="I9" s="399" t="s">
        <v>2825</v>
      </c>
      <c r="J9" s="51">
        <f>SUMIF(63:63,I9,64:64)-SUMIF(63:63,C9,64:64)+100</f>
        <v>100</v>
      </c>
      <c r="K9" s="2397"/>
      <c r="L9" s="1244"/>
      <c r="M9" s="1245"/>
      <c r="N9" s="1245"/>
      <c r="O9" s="1245"/>
      <c r="P9" s="3055"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29" s="407" customFormat="1" ht="27.75" thickBot="1">
      <c r="A10" s="401"/>
      <c r="B10" s="402" t="s">
        <v>2365</v>
      </c>
      <c r="C10" s="403" t="s">
        <v>2857</v>
      </c>
      <c r="D10" s="52">
        <v>100</v>
      </c>
      <c r="E10" s="404" t="s">
        <v>2857</v>
      </c>
      <c r="F10" s="405">
        <f>SUMIF(65:65,E10,66:66)-SUMIF(65:65,C10,66:66)+100</f>
        <v>100</v>
      </c>
      <c r="G10" s="403" t="s">
        <v>2857</v>
      </c>
      <c r="H10" s="52">
        <f>SUMIF(65:65,G10,66:66)-SUMIF(65:65,C10,66:66)+100</f>
        <v>100</v>
      </c>
      <c r="I10" s="403" t="s">
        <v>2857</v>
      </c>
      <c r="J10" s="52">
        <f>SUMIF(65:65,I10,66:66)-SUMIF(65:65,C10,66:66)+100</f>
        <v>100</v>
      </c>
      <c r="K10" s="406"/>
      <c r="L10" s="1247"/>
      <c r="M10" s="1248"/>
      <c r="N10" s="1248"/>
      <c r="O10" s="1248"/>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2366</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5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5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5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5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85.5">
      <c r="A15" s="419" t="s">
        <v>2367</v>
      </c>
      <c r="B15" s="26" t="s">
        <v>1741</v>
      </c>
      <c r="C15" s="2403" t="str">
        <f>估价对象房地状况!C3</f>
        <v>估价对象周边有富力尚悦居、珠江四季、星悦国际等住宅小区，综合评价居住社区成熟度较好</v>
      </c>
      <c r="D15" s="420">
        <v>100</v>
      </c>
      <c r="E15" s="421" t="str">
        <f>C15</f>
        <v>估价对象周边有富力尚悦居、珠江四季、星悦国际等住宅小区，综合评价居住社区成熟度较好</v>
      </c>
      <c r="F15" s="422">
        <f>SUMIF(76:76,E16,77:77)-SUMIF(76:76,C16,77:77)+100</f>
        <v>100</v>
      </c>
      <c r="G15" s="423" t="str">
        <f>E15</f>
        <v>估价对象周边有富力尚悦居、珠江四季、星悦国际等住宅小区，综合评价居住社区成熟度较好</v>
      </c>
      <c r="H15" s="420">
        <f>SUMIF(76:76,G16,77:77)-SUMIF(76:76,C16,77:77)+100</f>
        <v>100</v>
      </c>
      <c r="I15" s="421" t="str">
        <f>G15</f>
        <v>估价对象周边有富力尚悦居、珠江四季、星悦国际等住宅小区，综合评价居住社区成熟度较好</v>
      </c>
      <c r="J15" s="420">
        <f>SUMIF(76:76,I16,77:77)-SUMIF(76:76,C16,77:77)+100</f>
        <v>100</v>
      </c>
      <c r="K15" s="424"/>
      <c r="L15" s="1252"/>
      <c r="M15" s="1243"/>
      <c r="N15" s="1243"/>
      <c r="O15" s="1243"/>
      <c r="P15" s="3058" t="s">
        <v>2368</v>
      </c>
      <c r="Q15" s="1899" t="str">
        <f t="shared" si="6"/>
        <v>居住社区成熟度</v>
      </c>
      <c r="R15" s="753" t="s">
        <v>28</v>
      </c>
      <c r="S15" s="754">
        <f t="shared" si="0"/>
        <v>100</v>
      </c>
      <c r="T15" s="753" t="s">
        <v>28</v>
      </c>
      <c r="U15" s="754">
        <f t="shared" si="1"/>
        <v>100</v>
      </c>
      <c r="V15" s="753" t="s">
        <v>28</v>
      </c>
      <c r="W15" s="754">
        <f t="shared" si="2"/>
        <v>100</v>
      </c>
      <c r="X15" s="1900"/>
      <c r="Y15" s="3045" t="s">
        <v>2368</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59"/>
      <c r="Q16" s="1899"/>
      <c r="R16" s="753"/>
      <c r="S16" s="754"/>
      <c r="T16" s="753"/>
      <c r="U16" s="754"/>
      <c r="V16" s="753"/>
      <c r="W16" s="754"/>
      <c r="X16" s="1900"/>
      <c r="Y16" s="3046"/>
      <c r="Z16" s="1902"/>
      <c r="AA16" s="1903">
        <v>1</v>
      </c>
      <c r="AB16" s="1903">
        <v>1</v>
      </c>
      <c r="AC16" s="1903">
        <v>1</v>
      </c>
    </row>
    <row r="17" spans="1:29" ht="99.75">
      <c r="A17" s="408"/>
      <c r="B17" s="431" t="s">
        <v>1752</v>
      </c>
      <c r="C17" s="2406" t="str">
        <f>估价对象房地状况!C6</f>
        <v>估价对象周边有通28路、专47路等公交线路，距地铁亦庄线（经海路站）约2.6公里，综合评价交通便捷度一般</v>
      </c>
      <c r="D17" s="430">
        <v>100</v>
      </c>
      <c r="E17" s="2746" t="str">
        <f>C17</f>
        <v>估价对象周边有通28路、专47路等公交线路，距地铁亦庄线（经海路站）约2.6公里，综合评价交通便捷度一般</v>
      </c>
      <c r="F17" s="433">
        <f>SUMIF(78:78,E18,79:79)-SUMIF(78:78,C18,79:79)+100</f>
        <v>100</v>
      </c>
      <c r="G17" s="2747" t="str">
        <f>E17</f>
        <v>估价对象周边有通28路、专47路等公交线路，距地铁亦庄线（经海路站）约2.6公里，综合评价交通便捷度一般</v>
      </c>
      <c r="H17" s="435">
        <f>SUMIF(78:78,G18,79:79)-SUMIF(78:78,C18,79:79)+100</f>
        <v>100</v>
      </c>
      <c r="I17" s="2746" t="str">
        <f>G17</f>
        <v>估价对象周边有通28路、专47路等公交线路，距地铁亦庄线（经海路站）约2.6公里，综合评价交通便捷度一般</v>
      </c>
      <c r="J17" s="435">
        <f>SUMIF(78:78,I18,79:79)-SUMIF(78:78,C18,79:79)+100</f>
        <v>100</v>
      </c>
      <c r="K17" s="424"/>
      <c r="L17" s="1252"/>
      <c r="M17" s="1243"/>
      <c r="N17" s="1243"/>
      <c r="O17" s="1243"/>
      <c r="P17" s="3059"/>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31</v>
      </c>
      <c r="D18" s="430"/>
      <c r="E18" s="1467" t="s">
        <v>31</v>
      </c>
      <c r="F18" s="433"/>
      <c r="G18" s="2407" t="s">
        <v>31</v>
      </c>
      <c r="H18" s="427"/>
      <c r="I18" s="1467" t="s">
        <v>31</v>
      </c>
      <c r="J18" s="427"/>
      <c r="K18" s="2405"/>
      <c r="L18" s="1252"/>
      <c r="M18" s="1243"/>
      <c r="N18" s="1243"/>
      <c r="O18" s="1243"/>
      <c r="P18" s="3059"/>
      <c r="Q18" s="1899"/>
      <c r="R18" s="753"/>
      <c r="S18" s="754"/>
      <c r="T18" s="753"/>
      <c r="U18" s="754"/>
      <c r="V18" s="753"/>
      <c r="W18" s="754"/>
      <c r="X18" s="1900"/>
      <c r="Y18" s="3046"/>
      <c r="Z18" s="1902"/>
      <c r="AA18" s="1903">
        <v>1</v>
      </c>
      <c r="AB18" s="1903">
        <v>1</v>
      </c>
      <c r="AC18" s="1903">
        <v>1</v>
      </c>
    </row>
    <row r="19" spans="1:29" ht="42.75">
      <c r="A19" s="408"/>
      <c r="B19" s="431" t="s">
        <v>1750</v>
      </c>
      <c r="C19" s="2753" t="str">
        <f>估价对象房地状况!C7</f>
        <v>估价对象所在区域公共配套设施齐备情况较好</v>
      </c>
      <c r="D19" s="435">
        <v>100</v>
      </c>
      <c r="E19" s="2748" t="str">
        <f>C19</f>
        <v>估价对象所在区域公共配套设施齐备情况较好</v>
      </c>
      <c r="F19" s="439">
        <f>SUMIF(80:80,E20,81:81)-SUMIF(80:80,C20,81:81)+100</f>
        <v>100</v>
      </c>
      <c r="G19" s="2749" t="str">
        <f>E19</f>
        <v>估价对象所在区域公共配套设施齐备情况较好</v>
      </c>
      <c r="H19" s="430">
        <f>SUMIF(80:80,G20,81:81)-SUMIF(80:80,C20,81:81)+100</f>
        <v>100</v>
      </c>
      <c r="I19" s="2748" t="str">
        <f>G19</f>
        <v>估价对象所在区域公共配套设施齐备情况较好</v>
      </c>
      <c r="J19" s="430">
        <f>SUMIF(80:80,I20,81:81)-SUMIF(80:80,C20,81:81)+100</f>
        <v>100</v>
      </c>
      <c r="K19" s="424"/>
      <c r="L19" s="1252"/>
      <c r="M19" s="1243"/>
      <c r="N19" s="1243"/>
      <c r="O19" s="1243"/>
      <c r="P19" s="3059"/>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2754" t="s">
        <v>31</v>
      </c>
      <c r="D20" s="427"/>
      <c r="E20" s="428" t="s">
        <v>31</v>
      </c>
      <c r="F20" s="429"/>
      <c r="G20" s="2404" t="s">
        <v>31</v>
      </c>
      <c r="H20" s="427"/>
      <c r="I20" s="428" t="s">
        <v>31</v>
      </c>
      <c r="J20" s="427"/>
      <c r="K20" s="2405"/>
      <c r="L20" s="1252"/>
      <c r="M20" s="1243"/>
      <c r="N20" s="1243"/>
      <c r="O20" s="1243"/>
      <c r="P20" s="3059"/>
      <c r="Q20" s="1899"/>
      <c r="R20" s="753"/>
      <c r="S20" s="754"/>
      <c r="T20" s="753"/>
      <c r="U20" s="754"/>
      <c r="V20" s="753"/>
      <c r="W20" s="754"/>
      <c r="X20" s="1900"/>
      <c r="Y20" s="3046"/>
      <c r="Z20" s="1902"/>
      <c r="AA20" s="1903">
        <v>1</v>
      </c>
      <c r="AB20" s="1903">
        <v>1</v>
      </c>
      <c r="AC20" s="1903">
        <v>1</v>
      </c>
    </row>
    <row r="21" spans="1:29" ht="15">
      <c r="A21" s="408"/>
      <c r="B21" s="2408" t="s">
        <v>1753</v>
      </c>
      <c r="C21" s="2406" t="str">
        <f>估价对象房地状况!C8</f>
        <v>七通</v>
      </c>
      <c r="D21" s="435">
        <v>100</v>
      </c>
      <c r="E21" s="2748" t="str">
        <f>C21</f>
        <v>七通</v>
      </c>
      <c r="F21" s="439">
        <f>SUMIF(82:82,E22,83:83)-SUMIF(82:82,C22,83:83)+100</f>
        <v>100</v>
      </c>
      <c r="G21" s="2749" t="str">
        <f>E21</f>
        <v>七通</v>
      </c>
      <c r="H21" s="430">
        <f>SUMIF(82:82,G22,83:83)-SUMIF(82:82,C22,83:83)+100</f>
        <v>100</v>
      </c>
      <c r="I21" s="2748" t="str">
        <f>G21</f>
        <v>七通</v>
      </c>
      <c r="J21" s="430">
        <f>SUMIF(82:82,I22,83:83)-SUMIF(82:82,C22,83:83)+100</f>
        <v>100</v>
      </c>
      <c r="K21" s="424"/>
      <c r="L21" s="1252"/>
      <c r="M21" s="1243"/>
      <c r="N21" s="1243"/>
      <c r="O21" s="1243"/>
      <c r="P21" s="3059"/>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t="s">
        <v>2851</v>
      </c>
      <c r="D22" s="427"/>
      <c r="E22" s="426" t="s">
        <v>2851</v>
      </c>
      <c r="F22" s="429"/>
      <c r="G22" s="426" t="s">
        <v>2851</v>
      </c>
      <c r="H22" s="427"/>
      <c r="I22" s="426" t="s">
        <v>2851</v>
      </c>
      <c r="J22" s="427"/>
      <c r="K22" s="2409"/>
      <c r="L22" s="1252"/>
      <c r="M22" s="1243"/>
      <c r="N22" s="1243"/>
      <c r="O22" s="1243"/>
      <c r="P22" s="3059"/>
      <c r="Q22" s="1899"/>
      <c r="R22" s="753"/>
      <c r="S22" s="754"/>
      <c r="T22" s="753"/>
      <c r="U22" s="754"/>
      <c r="V22" s="753"/>
      <c r="W22" s="754"/>
      <c r="X22" s="1900"/>
      <c r="Y22" s="3046"/>
      <c r="Z22" s="1902"/>
      <c r="AA22" s="1903">
        <v>1</v>
      </c>
      <c r="AB22" s="1903">
        <v>1</v>
      </c>
      <c r="AC22" s="1903">
        <v>1</v>
      </c>
    </row>
    <row r="23" spans="1:29" ht="57">
      <c r="A23" s="408"/>
      <c r="B23" s="431" t="s">
        <v>1757</v>
      </c>
      <c r="C23" s="2406" t="str">
        <f>估价对象房地状况!C9</f>
        <v>区域自然环境：金马公园；人文环境；综合评价环境状况一般</v>
      </c>
      <c r="D23" s="430">
        <v>100</v>
      </c>
      <c r="E23" s="2746" t="str">
        <f>C23</f>
        <v>区域自然环境：金马公园；人文环境；综合评价环境状况一般</v>
      </c>
      <c r="F23" s="433">
        <f>SUMIF(84:84,E24,85:85)-SUMIF(84:84,C24,85:85)+100</f>
        <v>100</v>
      </c>
      <c r="G23" s="2747" t="str">
        <f>E23</f>
        <v>区域自然环境：金马公园；人文环境；综合评价环境状况一般</v>
      </c>
      <c r="H23" s="430">
        <f>SUMIF(84:84,G24,85:85)-SUMIF(84:84,C24,85:85)+100</f>
        <v>100</v>
      </c>
      <c r="I23" s="2746" t="str">
        <f>G23</f>
        <v>区域自然环境：金马公园；人文环境；综合评价环境状况一般</v>
      </c>
      <c r="J23" s="430">
        <f>SUMIF(84:84,I24,85:85)-SUMIF(84:84,C24,85:85)+100</f>
        <v>100</v>
      </c>
      <c r="K23" s="424"/>
      <c r="L23" s="1252"/>
      <c r="M23" s="1243"/>
      <c r="N23" s="1243"/>
      <c r="O23" s="1243"/>
      <c r="P23" s="3059"/>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59"/>
      <c r="Q24" s="1899"/>
      <c r="R24" s="753"/>
      <c r="S24" s="754"/>
      <c r="T24" s="753"/>
      <c r="U24" s="754"/>
      <c r="V24" s="753"/>
      <c r="W24" s="754"/>
      <c r="X24" s="1900"/>
      <c r="Y24" s="3046"/>
      <c r="Z24" s="1902"/>
      <c r="AA24" s="1903">
        <v>1</v>
      </c>
      <c r="AB24" s="1903">
        <v>1</v>
      </c>
      <c r="AC24" s="1903">
        <v>1</v>
      </c>
    </row>
    <row r="25" spans="1:29" ht="15" hidden="1">
      <c r="A25" s="408"/>
      <c r="B25" s="402" t="s">
        <v>2369</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9"/>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2370</v>
      </c>
      <c r="C26" s="441" t="s">
        <v>2884</v>
      </c>
      <c r="D26" s="415">
        <v>100</v>
      </c>
      <c r="E26" s="2410" t="s">
        <v>2863</v>
      </c>
      <c r="F26" s="442">
        <f>SUMIF(88:88,E26,89:89)-SUMIF(88:88,C26,89:89)+100</f>
        <v>101.5</v>
      </c>
      <c r="G26" s="2411" t="s">
        <v>2863</v>
      </c>
      <c r="H26" s="415">
        <f>SUMIF(88:88,G26,89:89)-SUMIF(88:88,C26,89:89)+100</f>
        <v>101.5</v>
      </c>
      <c r="I26" s="2410" t="s">
        <v>2863</v>
      </c>
      <c r="J26" s="415">
        <f>SUMIF(88:88,I26,89:89)-SUMIF(88:88,C26,89:89)+100</f>
        <v>101.5</v>
      </c>
      <c r="K26" s="406">
        <v>1.5</v>
      </c>
      <c r="L26" s="1252"/>
      <c r="M26" s="1243"/>
      <c r="N26" s="1243"/>
      <c r="O26" s="1243"/>
      <c r="P26" s="3059"/>
      <c r="Q26" s="1899" t="str">
        <f t="shared" si="11"/>
        <v>朝向</v>
      </c>
      <c r="R26" s="753" t="s">
        <v>28</v>
      </c>
      <c r="S26" s="754">
        <f>F26</f>
        <v>101.5</v>
      </c>
      <c r="T26" s="753" t="s">
        <v>28</v>
      </c>
      <c r="U26" s="754">
        <f>H26</f>
        <v>101.5</v>
      </c>
      <c r="V26" s="753" t="s">
        <v>28</v>
      </c>
      <c r="W26" s="754">
        <f>J26</f>
        <v>101.5</v>
      </c>
      <c r="X26" s="1900"/>
      <c r="Y26" s="3046"/>
      <c r="Z26" s="1902" t="str">
        <f>Q26</f>
        <v>朝向</v>
      </c>
      <c r="AA26" s="1903">
        <f t="shared" si="3"/>
        <v>0.98522167487684731</v>
      </c>
      <c r="AB26" s="1903">
        <f t="shared" si="4"/>
        <v>0.98522167487684731</v>
      </c>
      <c r="AC26" s="1903">
        <f t="shared" si="5"/>
        <v>0.98522167487684731</v>
      </c>
    </row>
    <row r="27" spans="1:29" s="35" customFormat="1" ht="28.5">
      <c r="A27" s="411"/>
      <c r="B27" s="2399" t="s">
        <v>2371</v>
      </c>
      <c r="C27" s="412" t="str">
        <f>C90</f>
        <v>城市支路——兴贸一街</v>
      </c>
      <c r="D27" s="443">
        <v>100</v>
      </c>
      <c r="E27" s="1472" t="str">
        <f>C27</f>
        <v>城市支路——兴贸一街</v>
      </c>
      <c r="F27" s="445">
        <f>SUMIF(90:90,E27,91:91)-SUMIF(90:90,C27,91:91)+100</f>
        <v>100</v>
      </c>
      <c r="G27" s="412" t="str">
        <f>E27</f>
        <v>城市支路——兴贸一街</v>
      </c>
      <c r="H27" s="443">
        <f>SUMIF(90:90,G27,91:91)-SUMIF(90:90,C27,91:91)+100</f>
        <v>100</v>
      </c>
      <c r="I27" s="1472" t="str">
        <f>G27</f>
        <v>城市支路——兴贸一街</v>
      </c>
      <c r="J27" s="443">
        <f>SUMIF(90:90,I27,91:91)-SUMIF(90:90,C27,91:91)+100</f>
        <v>100</v>
      </c>
      <c r="K27" s="2400"/>
      <c r="L27" s="1244"/>
      <c r="M27" s="1245"/>
      <c r="N27" s="1245"/>
      <c r="O27" s="1245"/>
      <c r="P27" s="3059"/>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15">
      <c r="A28" s="408"/>
      <c r="B28" s="2752" t="s">
        <v>2882</v>
      </c>
      <c r="C28" s="414">
        <v>2014</v>
      </c>
      <c r="D28" s="415">
        <v>100</v>
      </c>
      <c r="E28" s="414">
        <v>2014</v>
      </c>
      <c r="F28" s="442">
        <f>SUMIF(92:92,E28,93:93)-SUMIF(92:92,C28,93:93)+100</f>
        <v>100</v>
      </c>
      <c r="G28" s="414">
        <f>E28</f>
        <v>2014</v>
      </c>
      <c r="H28" s="415">
        <f>SUMIF(92:92,G28,93:93)-SUMIF(92:92,C28,93:93)+100</f>
        <v>100</v>
      </c>
      <c r="I28" s="414">
        <f>E28</f>
        <v>2014</v>
      </c>
      <c r="J28" s="415">
        <f>SUMIF(92:92,I28,93:93)-SUMIF(92:92,C28,93:93)+100</f>
        <v>100</v>
      </c>
      <c r="K28" s="2400"/>
      <c r="L28" s="1252"/>
      <c r="M28" s="1243"/>
      <c r="N28" s="1243"/>
      <c r="O28" s="1243"/>
      <c r="P28" s="3059"/>
      <c r="Q28" s="1899" t="str">
        <f t="shared" si="11"/>
        <v>建成年代</v>
      </c>
      <c r="R28" s="753" t="s">
        <v>28</v>
      </c>
      <c r="S28" s="754">
        <f t="shared" ref="S28:S46" si="12">F28</f>
        <v>100</v>
      </c>
      <c r="T28" s="753" t="s">
        <v>28</v>
      </c>
      <c r="U28" s="754">
        <f t="shared" ref="U28:U46" si="13">H28</f>
        <v>100</v>
      </c>
      <c r="V28" s="753" t="s">
        <v>28</v>
      </c>
      <c r="W28" s="754">
        <f t="shared" ref="W28:W46" si="14">J28</f>
        <v>100</v>
      </c>
      <c r="X28" s="1900"/>
      <c r="Y28" s="3046"/>
      <c r="Z28" s="1902" t="str">
        <f t="shared" ref="Z28:Z46" si="15">Q28</f>
        <v>建成年代</v>
      </c>
      <c r="AA28" s="1903">
        <f t="shared" si="3"/>
        <v>1</v>
      </c>
      <c r="AB28" s="1903">
        <f t="shared" si="4"/>
        <v>1</v>
      </c>
      <c r="AC28" s="1903">
        <f t="shared" si="5"/>
        <v>1</v>
      </c>
    </row>
    <row r="29" spans="1:29" ht="15">
      <c r="A29" s="408"/>
      <c r="B29" s="2752" t="s">
        <v>2889</v>
      </c>
      <c r="C29" s="3113" t="s">
        <v>2890</v>
      </c>
      <c r="D29" s="415">
        <v>100</v>
      </c>
      <c r="E29" s="3113" t="s">
        <v>2891</v>
      </c>
      <c r="F29" s="442">
        <f>SUMIF(94:94,E29,95:95)-SUMIF(94:94,C29,95:95)+100</f>
        <v>100</v>
      </c>
      <c r="G29" s="3113" t="s">
        <v>2892</v>
      </c>
      <c r="H29" s="415">
        <f>SUMIF(94:94,G29,95:95)-SUMIF(94:94,C29,95:95)+100</f>
        <v>100</v>
      </c>
      <c r="I29" s="3113" t="s">
        <v>2893</v>
      </c>
      <c r="J29" s="415">
        <f>SUMIF(94:94,I29,95:95)-SUMIF(94:94,C29,95:95)+100</f>
        <v>102</v>
      </c>
      <c r="K29" s="2400"/>
      <c r="L29" s="1252"/>
      <c r="M29" s="1243"/>
      <c r="N29" s="1243"/>
      <c r="O29" s="1243"/>
      <c r="P29" s="3059"/>
      <c r="Q29" s="1899" t="str">
        <f t="shared" si="11"/>
        <v>楼层</v>
      </c>
      <c r="R29" s="753" t="s">
        <v>28</v>
      </c>
      <c r="S29" s="754">
        <f t="shared" si="12"/>
        <v>100</v>
      </c>
      <c r="T29" s="753" t="s">
        <v>28</v>
      </c>
      <c r="U29" s="754">
        <f t="shared" si="13"/>
        <v>100</v>
      </c>
      <c r="V29" s="753" t="s">
        <v>28</v>
      </c>
      <c r="W29" s="754">
        <f t="shared" si="14"/>
        <v>102</v>
      </c>
      <c r="X29" s="1900"/>
      <c r="Y29" s="3046"/>
      <c r="Z29" s="1902" t="str">
        <f t="shared" si="15"/>
        <v>楼层</v>
      </c>
      <c r="AA29" s="1903">
        <f t="shared" si="3"/>
        <v>1</v>
      </c>
      <c r="AB29" s="1903">
        <f t="shared" si="4"/>
        <v>1</v>
      </c>
      <c r="AC29" s="1903">
        <f t="shared" si="5"/>
        <v>0.98039215686274506</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9"/>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9"/>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2372</v>
      </c>
      <c r="B32" s="28" t="s">
        <v>2373</v>
      </c>
      <c r="C32" s="2413" t="s">
        <v>2867</v>
      </c>
      <c r="D32" s="448">
        <v>100</v>
      </c>
      <c r="E32" s="2414" t="s">
        <v>2867</v>
      </c>
      <c r="F32" s="442">
        <f>SUMIF(100:100,E32,101:101)-SUMIF(100:100,C32,101:101)+100</f>
        <v>100</v>
      </c>
      <c r="G32" s="2413" t="s">
        <v>2867</v>
      </c>
      <c r="H32" s="448">
        <f>SUMIF(100:100,G32,101:101)-SUMIF(100:100,C32,101:101)+100</f>
        <v>100</v>
      </c>
      <c r="I32" s="2414" t="s">
        <v>2867</v>
      </c>
      <c r="J32" s="415">
        <f>SUMIF(100:100,I32,101:101)-SUMIF(100:100,C32,101:101)+100</f>
        <v>100</v>
      </c>
      <c r="K32" s="406"/>
      <c r="L32" s="1252"/>
      <c r="M32" s="1243"/>
      <c r="N32" s="1243"/>
      <c r="O32" s="1243"/>
      <c r="P32" s="3047" t="s">
        <v>2374</v>
      </c>
      <c r="Q32" s="1899" t="str">
        <f t="shared" si="11"/>
        <v>建筑类型</v>
      </c>
      <c r="R32" s="753" t="s">
        <v>28</v>
      </c>
      <c r="S32" s="754">
        <f t="shared" si="12"/>
        <v>100</v>
      </c>
      <c r="T32" s="753" t="s">
        <v>28</v>
      </c>
      <c r="U32" s="754">
        <f t="shared" si="13"/>
        <v>100</v>
      </c>
      <c r="V32" s="753" t="s">
        <v>28</v>
      </c>
      <c r="W32" s="754">
        <f t="shared" si="14"/>
        <v>100</v>
      </c>
      <c r="X32" s="1900"/>
      <c r="Y32" s="3050" t="s">
        <v>2374</v>
      </c>
      <c r="Z32" s="1902" t="str">
        <f t="shared" si="15"/>
        <v>建筑类型</v>
      </c>
      <c r="AA32" s="1903">
        <f t="shared" si="3"/>
        <v>1</v>
      </c>
      <c r="AB32" s="1903">
        <f t="shared" si="4"/>
        <v>1</v>
      </c>
      <c r="AC32" s="1903">
        <f t="shared" si="5"/>
        <v>1</v>
      </c>
    </row>
    <row r="33" spans="1:29" s="452" customFormat="1" ht="15">
      <c r="A33" s="449"/>
      <c r="B33" s="402" t="s">
        <v>2375</v>
      </c>
      <c r="C33" s="450">
        <f>项目基本情况!C12</f>
        <v>77.75</v>
      </c>
      <c r="D33" s="52">
        <v>100</v>
      </c>
      <c r="E33" s="410">
        <v>90.5</v>
      </c>
      <c r="F33" s="405">
        <f>LOOKUP(E33,103:103,104:104)-LOOKUP(C33,103:103,104:104)+100</f>
        <v>97</v>
      </c>
      <c r="G33" s="409">
        <v>90.72</v>
      </c>
      <c r="H33" s="52">
        <f>LOOKUP(G33,103:103,104:104)-LOOKUP(C33,103:103,104:104)+100</f>
        <v>97</v>
      </c>
      <c r="I33" s="410">
        <v>88.8</v>
      </c>
      <c r="J33" s="52">
        <f>LOOKUP(I33,103:103,104:104)-LOOKUP(C33,103:103,104:104)+100</f>
        <v>100</v>
      </c>
      <c r="K33" s="2400"/>
      <c r="L33" s="1250"/>
      <c r="M33" s="1253"/>
      <c r="N33" s="1253"/>
      <c r="O33" s="1253"/>
      <c r="P33" s="3048"/>
      <c r="Q33" s="755" t="str">
        <f t="shared" si="11"/>
        <v>项目建筑规模</v>
      </c>
      <c r="R33" s="756" t="s">
        <v>28</v>
      </c>
      <c r="S33" s="757">
        <f t="shared" si="12"/>
        <v>97</v>
      </c>
      <c r="T33" s="756" t="s">
        <v>28</v>
      </c>
      <c r="U33" s="757">
        <f t="shared" si="13"/>
        <v>97</v>
      </c>
      <c r="V33" s="756" t="s">
        <v>28</v>
      </c>
      <c r="W33" s="757">
        <f t="shared" si="14"/>
        <v>100</v>
      </c>
      <c r="X33" s="758"/>
      <c r="Y33" s="3050"/>
      <c r="Z33" s="759" t="str">
        <f t="shared" si="15"/>
        <v>项目建筑规模</v>
      </c>
      <c r="AA33" s="1903">
        <f t="shared" si="3"/>
        <v>1.0309278350515463</v>
      </c>
      <c r="AB33" s="1903">
        <f t="shared" si="4"/>
        <v>1.0309278350515463</v>
      </c>
      <c r="AC33" s="1903">
        <f t="shared" si="5"/>
        <v>1</v>
      </c>
    </row>
    <row r="34" spans="1:29" ht="15">
      <c r="A34" s="453"/>
      <c r="B34" s="402" t="s">
        <v>2376</v>
      </c>
      <c r="C34" s="2415" t="s">
        <v>2869</v>
      </c>
      <c r="D34" s="415">
        <v>100</v>
      </c>
      <c r="E34" s="2416" t="s">
        <v>2869</v>
      </c>
      <c r="F34" s="442">
        <f>SUMIF(105:105,E34,106:106)-SUMIF(105:105,C34,106:106)+100</f>
        <v>100</v>
      </c>
      <c r="G34" s="2415" t="s">
        <v>2869</v>
      </c>
      <c r="H34" s="415">
        <f>SUMIF(105:105,G34,106:106)-SUMIF(105:105,C34,106:106)+100</f>
        <v>100</v>
      </c>
      <c r="I34" s="2416" t="s">
        <v>2869</v>
      </c>
      <c r="J34" s="415">
        <f>SUMIF(105:105,I34,106:106)-SUMIF(105:105,C34,106:106)+100</f>
        <v>100</v>
      </c>
      <c r="K34" s="406"/>
      <c r="L34" s="1252"/>
      <c r="M34" s="1243"/>
      <c r="N34" s="1243"/>
      <c r="O34" s="1243"/>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c r="A35" s="453"/>
      <c r="B35" s="402" t="s">
        <v>2377</v>
      </c>
      <c r="C35" s="2411" t="s">
        <v>2871</v>
      </c>
      <c r="D35" s="415">
        <v>100</v>
      </c>
      <c r="E35" s="2410" t="s">
        <v>2871</v>
      </c>
      <c r="F35" s="442">
        <f>SUMIF(107:107,E35,108:108)-SUMIF(107:107,C35,108:108)+100</f>
        <v>100</v>
      </c>
      <c r="G35" s="2411" t="s">
        <v>2871</v>
      </c>
      <c r="H35" s="415">
        <f>SUMIF(107:107,G35,108:108)-SUMIF(107:107,C35,108:108)+100</f>
        <v>100</v>
      </c>
      <c r="I35" s="2410" t="s">
        <v>2871</v>
      </c>
      <c r="J35" s="415">
        <f>SUMIF(107:107,I35,108:108)-SUMIF(107:107,C35,108:108)+100</f>
        <v>100</v>
      </c>
      <c r="K35" s="406"/>
      <c r="L35" s="1252"/>
      <c r="M35" s="1243"/>
      <c r="N35" s="1243"/>
      <c r="O35" s="1243"/>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2378</v>
      </c>
      <c r="C36" s="2411" t="s">
        <v>2873</v>
      </c>
      <c r="D36" s="415">
        <v>100</v>
      </c>
      <c r="E36" s="2410" t="s">
        <v>2873</v>
      </c>
      <c r="F36" s="442">
        <f>SUMIF(109:109,E36,110:110)-SUMIF(109:109,C36,110:110)+100</f>
        <v>100</v>
      </c>
      <c r="G36" s="2411" t="s">
        <v>2873</v>
      </c>
      <c r="H36" s="415">
        <f>SUMIF(109:109,G36,110:110)-SUMIF(109:109,C36,110:110)+100</f>
        <v>100</v>
      </c>
      <c r="I36" s="2410" t="s">
        <v>2873</v>
      </c>
      <c r="J36" s="415">
        <f>SUMIF(109:109,I36,110:110)-SUMIF(109:109,C36,110:110)+100</f>
        <v>100</v>
      </c>
      <c r="K36" s="406"/>
      <c r="L36" s="1252"/>
      <c r="M36" s="1243"/>
      <c r="N36" s="1243"/>
      <c r="O36" s="1243"/>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2379</v>
      </c>
      <c r="C37" s="455">
        <f>'数据-取费表'!E20</f>
        <v>0.96</v>
      </c>
      <c r="D37" s="52">
        <v>100</v>
      </c>
      <c r="E37" s="456">
        <f>C37</f>
        <v>0.96</v>
      </c>
      <c r="F37" s="405">
        <f>LOOKUP(E37,112:112,113:113)-LOOKUP(C37,112:112,113:113)+100</f>
        <v>100</v>
      </c>
      <c r="G37" s="457">
        <f>C37</f>
        <v>0.96</v>
      </c>
      <c r="H37" s="52">
        <f>LOOKUP(G37,112:112,113:113)-LOOKUP(C37,112:112,113:113)+100</f>
        <v>100</v>
      </c>
      <c r="I37" s="456">
        <f>C37</f>
        <v>0.96</v>
      </c>
      <c r="J37" s="52">
        <f>LOOKUP(I37,112:112,113:113)-LOOKUP(C37,112:112,113:113)+100</f>
        <v>100</v>
      </c>
      <c r="K37" s="406"/>
      <c r="L37" s="1244"/>
      <c r="M37" s="1245"/>
      <c r="N37" s="1245"/>
      <c r="O37" s="1245"/>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2380</v>
      </c>
      <c r="C38" s="2411" t="s">
        <v>2875</v>
      </c>
      <c r="D38" s="415">
        <v>100</v>
      </c>
      <c r="E38" s="2410" t="s">
        <v>2875</v>
      </c>
      <c r="F38" s="442">
        <f>SUMIF(114:114,E38,115:115)-SUMIF(114:114,C38,115:115)+100</f>
        <v>100</v>
      </c>
      <c r="G38" s="2411" t="s">
        <v>2875</v>
      </c>
      <c r="H38" s="415">
        <f>SUMIF(114:114,G38,115:115)-SUMIF(114:114,C38,115:115)+100</f>
        <v>100</v>
      </c>
      <c r="I38" s="2410" t="s">
        <v>2875</v>
      </c>
      <c r="J38" s="415">
        <f>SUMIF(114:114,I38,115:115)-SUMIF(114:114,C38,115:115)+100</f>
        <v>100</v>
      </c>
      <c r="K38" s="406"/>
      <c r="L38" s="1252"/>
      <c r="M38" s="1243"/>
      <c r="N38" s="1243"/>
      <c r="O38" s="1243"/>
      <c r="P38" s="3048" t="s">
        <v>2374</v>
      </c>
      <c r="Q38" s="1899" t="str">
        <f t="shared" si="11"/>
        <v>物业管理</v>
      </c>
      <c r="R38" s="753" t="s">
        <v>28</v>
      </c>
      <c r="S38" s="754">
        <f t="shared" si="12"/>
        <v>100</v>
      </c>
      <c r="T38" s="753" t="s">
        <v>28</v>
      </c>
      <c r="U38" s="754">
        <f t="shared" si="13"/>
        <v>100</v>
      </c>
      <c r="V38" s="753" t="s">
        <v>28</v>
      </c>
      <c r="W38" s="754">
        <f t="shared" si="14"/>
        <v>100</v>
      </c>
      <c r="X38" s="1900"/>
      <c r="Y38" s="3050" t="s">
        <v>2374</v>
      </c>
      <c r="Z38" s="1902" t="str">
        <f t="shared" si="15"/>
        <v>物业管理</v>
      </c>
      <c r="AA38" s="1903">
        <f t="shared" si="3"/>
        <v>1</v>
      </c>
      <c r="AB38" s="1903">
        <f t="shared" si="4"/>
        <v>1</v>
      </c>
      <c r="AC38" s="1903">
        <f t="shared" si="5"/>
        <v>1</v>
      </c>
    </row>
    <row r="39" spans="1:29" ht="15">
      <c r="A39" s="453"/>
      <c r="B39" s="402" t="s">
        <v>2381</v>
      </c>
      <c r="C39" s="2411" t="s">
        <v>2851</v>
      </c>
      <c r="D39" s="415">
        <v>100</v>
      </c>
      <c r="E39" s="2410" t="s">
        <v>2851</v>
      </c>
      <c r="F39" s="442">
        <f>SUMIF(116:116,E39,117:117)-SUMIF(116:116,C39,117:117)+100</f>
        <v>100</v>
      </c>
      <c r="G39" s="2411" t="s">
        <v>2851</v>
      </c>
      <c r="H39" s="415">
        <f>SUMIF(116:116,G39,117:117)-SUMIF(116:116,C39,117:117)+100</f>
        <v>100</v>
      </c>
      <c r="I39" s="2410" t="s">
        <v>2851</v>
      </c>
      <c r="J39" s="415">
        <f>SUMIF(116:116,I39,117:117)-SUMIF(116:116,C39,117:117)+100</f>
        <v>100</v>
      </c>
      <c r="K39" s="406"/>
      <c r="L39" s="1252"/>
      <c r="M39" s="1243"/>
      <c r="N39" s="1243"/>
      <c r="O39" s="1243"/>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2382</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c r="L40" s="1252"/>
      <c r="M40" s="1243"/>
      <c r="N40" s="1243"/>
      <c r="O40" s="1243"/>
      <c r="P40" s="3048"/>
      <c r="Q40" s="1899" t="str">
        <f t="shared" si="11"/>
        <v>房型</v>
      </c>
      <c r="R40" s="753" t="s">
        <v>28</v>
      </c>
      <c r="S40" s="754">
        <f t="shared" si="12"/>
        <v>100</v>
      </c>
      <c r="T40" s="753" t="s">
        <v>28</v>
      </c>
      <c r="U40" s="754">
        <f t="shared" si="13"/>
        <v>100</v>
      </c>
      <c r="V40" s="753" t="s">
        <v>28</v>
      </c>
      <c r="W40" s="754">
        <f t="shared" si="14"/>
        <v>100</v>
      </c>
      <c r="X40" s="1900"/>
      <c r="Y40" s="3050"/>
      <c r="Z40" s="1902" t="str">
        <f t="shared" si="15"/>
        <v>房型</v>
      </c>
      <c r="AA40" s="1903">
        <f t="shared" si="3"/>
        <v>1</v>
      </c>
      <c r="AB40" s="1903">
        <f t="shared" si="4"/>
        <v>1</v>
      </c>
      <c r="AC40" s="1903">
        <f t="shared" si="5"/>
        <v>1</v>
      </c>
    </row>
    <row r="41" spans="1:29" s="452" customFormat="1" ht="28.5" hidden="1">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2384</v>
      </c>
      <c r="C42" s="2411" t="s">
        <v>2886</v>
      </c>
      <c r="D42" s="415">
        <v>100</v>
      </c>
      <c r="E42" s="2410" t="s">
        <v>2880</v>
      </c>
      <c r="F42" s="442">
        <f>SUMIF(122:122,E42,123:123)-SUMIF(122:122,C42,123:123)+100</f>
        <v>101</v>
      </c>
      <c r="G42" s="2411" t="s">
        <v>2873</v>
      </c>
      <c r="H42" s="415">
        <f>SUMIF(122:122,G42,123:123)-SUMIF(122:122,C42,123:123)+100</f>
        <v>102</v>
      </c>
      <c r="I42" s="2410" t="s">
        <v>2880</v>
      </c>
      <c r="J42" s="415">
        <f>SUMIF(122:122,I42,123:123)-SUMIF(122:122,C42,123:123)+100</f>
        <v>101</v>
      </c>
      <c r="K42" s="406">
        <v>1</v>
      </c>
      <c r="L42" s="1252"/>
      <c r="M42" s="1243"/>
      <c r="N42" s="1243"/>
      <c r="O42" s="1243"/>
      <c r="P42" s="3048"/>
      <c r="Q42" s="1899" t="str">
        <f t="shared" si="11"/>
        <v>内部装修</v>
      </c>
      <c r="R42" s="753" t="s">
        <v>28</v>
      </c>
      <c r="S42" s="754">
        <f t="shared" si="12"/>
        <v>101</v>
      </c>
      <c r="T42" s="753" t="s">
        <v>28</v>
      </c>
      <c r="U42" s="754">
        <f t="shared" si="13"/>
        <v>102</v>
      </c>
      <c r="V42" s="753" t="s">
        <v>28</v>
      </c>
      <c r="W42" s="754">
        <f t="shared" si="14"/>
        <v>101</v>
      </c>
      <c r="X42" s="1900"/>
      <c r="Y42" s="3050"/>
      <c r="Z42" s="1902" t="str">
        <f t="shared" si="15"/>
        <v>内部装修</v>
      </c>
      <c r="AA42" s="1903">
        <f t="shared" si="3"/>
        <v>0.99009900990099009</v>
      </c>
      <c r="AB42" s="1903">
        <f t="shared" si="4"/>
        <v>0.98039215686274506</v>
      </c>
      <c r="AC42" s="1903">
        <f t="shared" si="5"/>
        <v>0.99009900990099009</v>
      </c>
    </row>
    <row r="43" spans="1:29" ht="15.75" thickBot="1">
      <c r="A43" s="453"/>
      <c r="B43" s="402" t="s">
        <v>2385</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 hidden="1">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8"/>
      <c r="Q44" s="1887">
        <f t="shared" si="11"/>
        <v>111</v>
      </c>
      <c r="R44" s="749" t="s">
        <v>28</v>
      </c>
      <c r="S44" s="750">
        <f t="shared" si="12"/>
        <v>100</v>
      </c>
      <c r="T44" s="749" t="s">
        <v>28</v>
      </c>
      <c r="U44" s="750">
        <f t="shared" si="13"/>
        <v>100</v>
      </c>
      <c r="V44" s="749" t="s">
        <v>28</v>
      </c>
      <c r="W44" s="750">
        <f t="shared" si="14"/>
        <v>100</v>
      </c>
      <c r="X44" s="751"/>
      <c r="Y44" s="3050"/>
      <c r="Z44" s="23">
        <f t="shared" si="15"/>
        <v>111</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8"/>
      <c r="Q45" s="1899">
        <f t="shared" si="11"/>
        <v>111</v>
      </c>
      <c r="R45" s="753" t="s">
        <v>28</v>
      </c>
      <c r="S45" s="754">
        <f t="shared" si="12"/>
        <v>100</v>
      </c>
      <c r="T45" s="753" t="s">
        <v>28</v>
      </c>
      <c r="U45" s="754">
        <f t="shared" si="13"/>
        <v>100</v>
      </c>
      <c r="V45" s="753" t="s">
        <v>28</v>
      </c>
      <c r="W45" s="754">
        <f t="shared" si="14"/>
        <v>100</v>
      </c>
      <c r="X45" s="1900"/>
      <c r="Y45" s="3050"/>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9"/>
      <c r="Q46" s="1899">
        <f t="shared" si="11"/>
        <v>111</v>
      </c>
      <c r="R46" s="753" t="s">
        <v>27</v>
      </c>
      <c r="S46" s="754">
        <f t="shared" si="12"/>
        <v>100</v>
      </c>
      <c r="T46" s="753" t="s">
        <v>27</v>
      </c>
      <c r="U46" s="754">
        <f t="shared" si="13"/>
        <v>100</v>
      </c>
      <c r="V46" s="753" t="s">
        <v>27</v>
      </c>
      <c r="W46" s="754">
        <f t="shared" si="14"/>
        <v>100</v>
      </c>
      <c r="X46" s="1900"/>
      <c r="Y46" s="3051"/>
      <c r="Z46" s="1902">
        <f t="shared" si="15"/>
        <v>111</v>
      </c>
      <c r="AA46" s="1903">
        <f t="shared" si="3"/>
        <v>1</v>
      </c>
      <c r="AB46" s="1903">
        <f t="shared" si="4"/>
        <v>1</v>
      </c>
      <c r="AC46" s="1903">
        <f t="shared" si="5"/>
        <v>1</v>
      </c>
    </row>
    <row r="47" spans="1:29" ht="15">
      <c r="A47" s="460" t="s">
        <v>2386</v>
      </c>
      <c r="B47" s="461"/>
      <c r="C47" s="1501" t="s">
        <v>26</v>
      </c>
      <c r="D47" s="1502"/>
      <c r="E47" s="1503">
        <v>34531</v>
      </c>
      <c r="F47" s="1504"/>
      <c r="G47" s="1505">
        <v>35494</v>
      </c>
      <c r="H47" s="1506"/>
      <c r="I47" s="1503">
        <v>36374</v>
      </c>
      <c r="J47" s="1506"/>
      <c r="K47" s="2417"/>
      <c r="L47" s="1255"/>
      <c r="M47" s="1256"/>
      <c r="N47" s="1243"/>
      <c r="O47" s="1256"/>
      <c r="P47" s="3056" t="str">
        <f>A47</f>
        <v>成交单价（元/平方米）</v>
      </c>
      <c r="Q47" s="3056"/>
      <c r="R47" s="3057">
        <f>E47</f>
        <v>34531</v>
      </c>
      <c r="S47" s="3057"/>
      <c r="T47" s="3057">
        <f>G47</f>
        <v>35494</v>
      </c>
      <c r="U47" s="3057"/>
      <c r="V47" s="3057">
        <f>I47</f>
        <v>36374</v>
      </c>
      <c r="W47" s="3057"/>
      <c r="X47" s="738"/>
      <c r="Y47" s="760"/>
      <c r="Z47" s="738"/>
      <c r="AA47" s="738"/>
      <c r="AB47" s="738"/>
      <c r="AC47" s="738"/>
    </row>
    <row r="48" spans="1:29" ht="15.75" thickBot="1">
      <c r="A48" s="467" t="s">
        <v>2387</v>
      </c>
      <c r="B48" s="468"/>
      <c r="C48" s="1507">
        <f>R49</f>
        <v>34952</v>
      </c>
      <c r="D48" s="1508"/>
      <c r="E48" s="1509">
        <f>R48</f>
        <v>34726</v>
      </c>
      <c r="F48" s="1509"/>
      <c r="G48" s="1507">
        <f>T48</f>
        <v>35344</v>
      </c>
      <c r="H48" s="1508"/>
      <c r="I48" s="1509">
        <f>V48</f>
        <v>34786</v>
      </c>
      <c r="J48" s="1508"/>
      <c r="K48" s="2418"/>
      <c r="L48" s="1255"/>
      <c r="M48" s="1256"/>
      <c r="N48" s="1256"/>
      <c r="O48" s="1256"/>
      <c r="P48" s="3056" t="str">
        <f>A48</f>
        <v>比较价值（元/平方米）</v>
      </c>
      <c r="Q48" s="3056"/>
      <c r="R48" s="3057">
        <f>IF(E1="售价",ROUND(PRODUCT(R47,AA7:AA46),0),ROUND(PRODUCT(R47,AA7:AA46),1))</f>
        <v>34726</v>
      </c>
      <c r="S48" s="3057"/>
      <c r="T48" s="3060">
        <f>IF(E1="售价",ROUND(PRODUCT(T47,AB7:AB46),0),ROUND(PRODUCT(T47,AB7:AB46),1))</f>
        <v>35344</v>
      </c>
      <c r="U48" s="3061"/>
      <c r="V48" s="3057">
        <f>IF(E1="售价",ROUND(PRODUCT(V47,AC7:AC46),0),ROUND(PRODUCT(V47,AC7:AC46),1))</f>
        <v>34786</v>
      </c>
      <c r="W48" s="3057"/>
      <c r="X48" s="738"/>
      <c r="Y48" s="738"/>
      <c r="Z48" s="738"/>
      <c r="AA48" s="738"/>
      <c r="AB48" s="738"/>
      <c r="AC48" s="738"/>
    </row>
    <row r="49" spans="1:29" ht="15.75" thickBot="1">
      <c r="A49" s="473" t="s">
        <v>2866</v>
      </c>
      <c r="B49" s="474"/>
      <c r="C49" s="1510">
        <f>R49</f>
        <v>34952</v>
      </c>
      <c r="D49" s="1511"/>
      <c r="E49" s="1511"/>
      <c r="F49" s="1511"/>
      <c r="G49" s="1511"/>
      <c r="H49" s="1511"/>
      <c r="I49" s="1511"/>
      <c r="J49" s="1511"/>
      <c r="K49" s="2419"/>
      <c r="L49" s="1255"/>
      <c r="M49" s="1256"/>
      <c r="N49" s="1256"/>
      <c r="O49" s="1256"/>
      <c r="P49" s="3062" t="str">
        <f>A49</f>
        <v>估价对象住宅用房的比较价值（楼面单价，元/平方米）</v>
      </c>
      <c r="Q49" s="3063"/>
      <c r="R49" s="3064">
        <f>IF(E1="售价",ROUND(AVERAGE(R48:V48),0),ROUND(AVERAGE(R48:V48),1))</f>
        <v>34952</v>
      </c>
      <c r="S49" s="3064"/>
      <c r="T49" s="3064"/>
      <c r="U49" s="3064"/>
      <c r="V49" s="3064"/>
      <c r="W49" s="306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f>IF(E47&lt;E48,E48/E47-1,E47/E48-1)</f>
        <v>5.6470997075090956E-3</v>
      </c>
      <c r="F52" s="481" t="str">
        <f>IF(OR(E52&gt;=0.3,E52&lt;=-0.3),"超过30%","")</f>
        <v/>
      </c>
      <c r="G52" s="480">
        <f>IF(G47&lt;G48,G48/G47-1,G47/G48-1)</f>
        <v>4.2440018107741118E-3</v>
      </c>
      <c r="H52" s="481" t="str">
        <f>IF(OR(G52&gt;=0.3,G52&lt;=-0.3),"超过30%","")</f>
        <v/>
      </c>
      <c r="I52" s="480">
        <f>IF(I47&lt;I48,I48/I47-1,I47/I48-1)</f>
        <v>4.5650549071465596E-2</v>
      </c>
      <c r="J52" s="481" t="str">
        <f>IF(OR(I52&gt;=0.3,I52&lt;=-0.3),"超过30%","")</f>
        <v/>
      </c>
      <c r="K52" s="1261"/>
      <c r="L52" s="1257"/>
      <c r="M52" s="1256"/>
      <c r="N52" s="1256"/>
      <c r="O52" s="1256"/>
    </row>
    <row r="53" spans="1:29" ht="13.5" customHeight="1">
      <c r="A53" s="1256"/>
      <c r="B53" s="1256"/>
      <c r="C53" s="478" t="s">
        <v>2389</v>
      </c>
      <c r="D53" s="482"/>
      <c r="E53" s="480">
        <f>IF(E48&lt;G48,G48/E48-1,E48/G48-1)</f>
        <v>1.7796463744744528E-2</v>
      </c>
      <c r="F53" s="481" t="str">
        <f>IF(OR(E53&gt;=0.2,E53&lt;=-0.2),"超过20%","")</f>
        <v/>
      </c>
      <c r="G53" s="480">
        <f>IF(G48&lt;I48,I48/G48-1,G48/I48-1)</f>
        <v>1.6040936008739237E-2</v>
      </c>
      <c r="H53" s="481" t="str">
        <f>IF(OR(G53&gt;=0.2,G53&lt;=-0.2),"超过20%","")</f>
        <v/>
      </c>
      <c r="I53" s="480">
        <f>IF(I48&lt;E48,E48/I48-1,I48/E48-1)</f>
        <v>1.7278120140529207E-3</v>
      </c>
      <c r="J53" s="481" t="str">
        <f>IF(OR(I53&gt;=0.2,I53&lt;=-0.2),"超过20%","")</f>
        <v/>
      </c>
      <c r="K53" s="1261"/>
      <c r="L53" s="1257"/>
      <c r="M53" s="1256"/>
      <c r="N53" s="1256"/>
      <c r="O53" s="1256"/>
    </row>
    <row r="54" spans="1:29" s="483" customFormat="1" ht="13.5" customHeight="1">
      <c r="A54" s="1258"/>
      <c r="B54" s="1258"/>
      <c r="C54" s="478" t="s">
        <v>2390</v>
      </c>
      <c r="D54" s="482"/>
      <c r="E54" s="480">
        <f>IF(E47&lt;G47,G47/E47-1,E47/G47-1)</f>
        <v>2.7887984709391578E-2</v>
      </c>
      <c r="F54" s="481" t="str">
        <f>IF(OR(E54&gt;=0.3,E54&lt;=-0.3),"超过30%","")</f>
        <v/>
      </c>
      <c r="G54" s="480">
        <f>IF(G47&lt;I47,I47/G47-1,G47/I47-1)</f>
        <v>2.4792922747506552E-2</v>
      </c>
      <c r="H54" s="481" t="str">
        <f>IF(OR(G54&gt;=0.3,G54&lt;=-0.3),"超过30%","")</f>
        <v/>
      </c>
      <c r="I54" s="480">
        <f>IF(I47&lt;E47,E47/I47-1,I47/E47-1)</f>
        <v>5.3372332107381792E-2</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2391</v>
      </c>
      <c r="B57" s="738"/>
      <c r="C57" s="743"/>
      <c r="D57" s="743"/>
      <c r="E57" s="743"/>
      <c r="F57" s="744"/>
      <c r="G57" s="744"/>
      <c r="H57" s="743"/>
      <c r="I57" s="743"/>
      <c r="J57" s="743"/>
      <c r="K57" s="745"/>
      <c r="L57" s="746"/>
      <c r="M57" s="743"/>
      <c r="N57" s="743"/>
      <c r="O57" s="743"/>
      <c r="P57" s="2422"/>
      <c r="Q57" s="485"/>
    </row>
    <row r="58" spans="1:29" s="489" customFormat="1" ht="15">
      <c r="A58" s="486" t="s">
        <v>2392</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3"/>
    </row>
    <row r="59" spans="1:29" s="35" customFormat="1" ht="15">
      <c r="A59" s="490"/>
      <c r="B59" s="491"/>
      <c r="C59" s="623">
        <v>100</v>
      </c>
      <c r="D59" s="493">
        <v>100</v>
      </c>
      <c r="E59" s="493">
        <v>100</v>
      </c>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2362</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2366</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v>3</v>
      </c>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2418</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2419</v>
      </c>
      <c r="C88" s="2744" t="s">
        <v>2864</v>
      </c>
      <c r="D88" s="2744" t="s">
        <v>2885</v>
      </c>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7"/>
      <c r="O89" s="1267"/>
      <c r="P89" s="2426"/>
      <c r="Q89" s="485"/>
    </row>
    <row r="90" spans="1:17" s="452" customFormat="1" ht="29.25" thickTop="1">
      <c r="A90" s="536"/>
      <c r="B90" s="521" t="str">
        <f>B27</f>
        <v>道路级别</v>
      </c>
      <c r="C90" s="537" t="str">
        <f>估价对象房地状况!C10</f>
        <v>城市支路——兴贸一街</v>
      </c>
      <c r="D90" s="537"/>
      <c r="E90" s="537"/>
      <c r="F90" s="537"/>
      <c r="G90" s="537"/>
      <c r="H90" s="538"/>
      <c r="I90" s="538"/>
      <c r="J90" s="538"/>
      <c r="K90" s="538"/>
      <c r="L90" s="539"/>
      <c r="M90" s="540"/>
      <c r="N90" s="1268"/>
      <c r="O90" s="1268"/>
      <c r="P90" s="2427"/>
      <c r="Q90" s="543"/>
    </row>
    <row r="91" spans="1:17" s="452" customFormat="1" ht="15.75" thickBot="1">
      <c r="A91" s="536"/>
      <c r="B91" s="526"/>
      <c r="C91" s="2745">
        <v>100</v>
      </c>
      <c r="D91" s="544"/>
      <c r="E91" s="544"/>
      <c r="F91" s="544"/>
      <c r="G91" s="544"/>
      <c r="H91" s="546"/>
      <c r="I91" s="546"/>
      <c r="J91" s="546"/>
      <c r="K91" s="546"/>
      <c r="L91" s="546"/>
      <c r="M91" s="547"/>
      <c r="N91" s="1268"/>
      <c r="O91" s="1268"/>
      <c r="P91" s="2427"/>
      <c r="Q91" s="543"/>
    </row>
    <row r="92" spans="1:17" ht="15.75" thickTop="1">
      <c r="A92" s="516"/>
      <c r="B92" s="521" t="str">
        <f>B28</f>
        <v>建成年代</v>
      </c>
      <c r="C92" s="537">
        <v>2014</v>
      </c>
      <c r="D92" s="537">
        <v>2012</v>
      </c>
      <c r="E92" s="537"/>
      <c r="F92" s="537"/>
      <c r="G92" s="567"/>
      <c r="H92" s="567"/>
      <c r="I92" s="567"/>
      <c r="J92" s="567"/>
      <c r="K92" s="568"/>
      <c r="L92" s="569"/>
      <c r="M92" s="570"/>
      <c r="N92" s="1266"/>
      <c r="O92" s="1266"/>
      <c r="P92" s="2426"/>
      <c r="Q92" s="485"/>
    </row>
    <row r="93" spans="1:17" ht="15.75" thickBot="1">
      <c r="A93" s="516"/>
      <c r="B93" s="526"/>
      <c r="C93" s="544">
        <v>100</v>
      </c>
      <c r="D93" s="518">
        <v>99.5</v>
      </c>
      <c r="E93" s="518"/>
      <c r="F93" s="518"/>
      <c r="G93" s="518"/>
      <c r="H93" s="518"/>
      <c r="I93" s="518"/>
      <c r="J93" s="518"/>
      <c r="K93" s="518"/>
      <c r="L93" s="518"/>
      <c r="M93" s="519"/>
      <c r="N93" s="1267"/>
      <c r="O93" s="1267"/>
      <c r="P93" s="2426"/>
      <c r="Q93" s="485"/>
    </row>
    <row r="94" spans="1:17" ht="15.75" thickTop="1">
      <c r="A94" s="516"/>
      <c r="B94" s="521" t="str">
        <f>B29</f>
        <v>楼层</v>
      </c>
      <c r="C94" s="3114" t="str">
        <f>C29</f>
        <v>2/16</v>
      </c>
      <c r="D94" s="3114" t="str">
        <f>E29</f>
        <v>低层/16</v>
      </c>
      <c r="E94" s="3114" t="str">
        <f>I29</f>
        <v>中层/16</v>
      </c>
      <c r="F94" s="537"/>
      <c r="G94" s="567"/>
      <c r="H94" s="567"/>
      <c r="I94" s="567"/>
      <c r="J94" s="567"/>
      <c r="K94" s="568"/>
      <c r="L94" s="569"/>
      <c r="M94" s="570"/>
      <c r="N94" s="1266"/>
      <c r="O94" s="1266"/>
      <c r="P94" s="2426"/>
      <c r="Q94" s="485"/>
    </row>
    <row r="95" spans="1:17" ht="15.75" thickBot="1">
      <c r="A95" s="516"/>
      <c r="B95" s="526"/>
      <c r="C95" s="544">
        <v>100</v>
      </c>
      <c r="D95" s="544">
        <v>100</v>
      </c>
      <c r="E95" s="544">
        <v>102</v>
      </c>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2372</v>
      </c>
      <c r="B100" s="509" t="s">
        <v>2420</v>
      </c>
      <c r="C100" s="2750" t="s">
        <v>2868</v>
      </c>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2421</v>
      </c>
      <c r="C102" s="562" t="str">
        <f>C103&amp;"(含)"&amp;"-"&amp;D103</f>
        <v>0(含)-60</v>
      </c>
      <c r="D102" s="562" t="str">
        <f t="shared" ref="D102:L102" si="23">D103&amp;"(含)"&amp;"-"&amp;E103</f>
        <v>60(含)-90</v>
      </c>
      <c r="E102" s="562" t="str">
        <f t="shared" si="23"/>
        <v>90(含)-130</v>
      </c>
      <c r="F102" s="562" t="str">
        <f t="shared" si="23"/>
        <v>130(含)-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130</v>
      </c>
      <c r="G103" s="579"/>
      <c r="H103" s="579"/>
      <c r="I103" s="579"/>
      <c r="J103" s="580"/>
      <c r="K103" s="580"/>
      <c r="L103" s="581"/>
      <c r="M103" s="582"/>
      <c r="N103" s="1268"/>
      <c r="O103" s="1268"/>
      <c r="P103" s="2427"/>
      <c r="Q103" s="543"/>
    </row>
    <row r="104" spans="1:17" s="452" customFormat="1" ht="15.75" thickBot="1">
      <c r="A104" s="536"/>
      <c r="B104" s="526"/>
      <c r="C104" s="544">
        <v>100</v>
      </c>
      <c r="D104" s="518">
        <v>97</v>
      </c>
      <c r="E104" s="518">
        <v>94</v>
      </c>
      <c r="F104" s="518">
        <v>91</v>
      </c>
      <c r="G104" s="518"/>
      <c r="H104" s="518"/>
      <c r="I104" s="518"/>
      <c r="J104" s="518"/>
      <c r="K104" s="518"/>
      <c r="L104" s="518"/>
      <c r="M104" s="518"/>
      <c r="N104" s="1267"/>
      <c r="O104" s="1267"/>
      <c r="P104" s="2427"/>
      <c r="Q104" s="543"/>
    </row>
    <row r="105" spans="1:17" ht="15" thickTop="1">
      <c r="A105" s="583"/>
      <c r="B105" s="521" t="s">
        <v>2422</v>
      </c>
      <c r="C105" s="2744" t="s">
        <v>2870</v>
      </c>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2423</v>
      </c>
      <c r="C107" s="2751" t="s">
        <v>2872</v>
      </c>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2424</v>
      </c>
      <c r="C109" s="2744" t="s">
        <v>2874</v>
      </c>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2426</v>
      </c>
      <c r="C114" s="2744" t="s">
        <v>2876</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2427</v>
      </c>
      <c r="C116" s="2744" t="s">
        <v>2877</v>
      </c>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2428</v>
      </c>
      <c r="C118" s="2751" t="s">
        <v>2879</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2383</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2429</v>
      </c>
      <c r="C122" s="2744" t="s">
        <v>2874</v>
      </c>
      <c r="D122" s="2744" t="s">
        <v>2881</v>
      </c>
      <c r="E122" s="2744" t="s">
        <v>2887</v>
      </c>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4">
        <v>6</v>
      </c>
      <c r="C139" s="1132">
        <v>96</v>
      </c>
      <c r="D139" s="2444" t="s">
        <v>2440</v>
      </c>
      <c r="E139" s="1133">
        <v>100</v>
      </c>
      <c r="F139" s="1134">
        <v>102.5</v>
      </c>
      <c r="G139" s="2444" t="s">
        <v>2440</v>
      </c>
      <c r="H139" s="1135">
        <v>105</v>
      </c>
      <c r="I139" s="2445" t="s">
        <v>2441</v>
      </c>
      <c r="J139" s="1132">
        <v>20</v>
      </c>
      <c r="K139" s="1126">
        <f>C145/(J139-2)</f>
        <v>4.0555555555555553E-3</v>
      </c>
    </row>
    <row r="140" spans="1:17" ht="15">
      <c r="B140" s="1125">
        <v>5</v>
      </c>
      <c r="C140" s="1136">
        <v>100</v>
      </c>
      <c r="D140" s="1136"/>
      <c r="E140" s="1137"/>
      <c r="F140" s="1138">
        <v>102</v>
      </c>
      <c r="G140" s="1136"/>
      <c r="H140" s="1139"/>
      <c r="I140" s="2446" t="s">
        <v>2442</v>
      </c>
      <c r="J140" s="217">
        <f>ROUNDUP((J139-1)/2,0)</f>
        <v>10</v>
      </c>
      <c r="K140" s="1127">
        <v>100</v>
      </c>
    </row>
    <row r="141" spans="1:17" ht="15">
      <c r="B141" s="1125">
        <v>4</v>
      </c>
      <c r="C141" s="1136">
        <v>102</v>
      </c>
      <c r="D141" s="1136"/>
      <c r="E141" s="1137"/>
      <c r="F141" s="1138">
        <v>101.5</v>
      </c>
      <c r="G141" s="1136"/>
      <c r="H141" s="1139"/>
      <c r="I141" s="2446" t="s">
        <v>2443</v>
      </c>
      <c r="J141" s="217">
        <v>1</v>
      </c>
      <c r="K141" s="1128">
        <f>ROUND(100+(J141-J140)*K139*100,1)</f>
        <v>96.4</v>
      </c>
    </row>
    <row r="142" spans="1:17" ht="15">
      <c r="B142" s="1125">
        <v>3</v>
      </c>
      <c r="C142" s="1136">
        <v>103</v>
      </c>
      <c r="D142" s="1136"/>
      <c r="E142" s="1137"/>
      <c r="F142" s="1138">
        <v>101</v>
      </c>
      <c r="G142" s="1136"/>
      <c r="H142" s="1139"/>
      <c r="I142" s="2446" t="s">
        <v>2444</v>
      </c>
      <c r="J142" s="217">
        <f>J139</f>
        <v>20</v>
      </c>
      <c r="K142" s="1141">
        <v>95</v>
      </c>
    </row>
    <row r="143" spans="1:17" ht="15">
      <c r="B143" s="1125">
        <v>2</v>
      </c>
      <c r="C143" s="1136">
        <v>100</v>
      </c>
      <c r="D143" s="1136"/>
      <c r="E143" s="1137"/>
      <c r="F143" s="1138">
        <v>100.5</v>
      </c>
      <c r="G143" s="1136"/>
      <c r="H143" s="1139"/>
      <c r="I143" s="2446" t="s">
        <v>2445</v>
      </c>
      <c r="J143" s="1136">
        <v>15</v>
      </c>
      <c r="K143" s="1128">
        <f>ROUND(100+(J143-J140)*K139*100,1)</f>
        <v>102</v>
      </c>
    </row>
    <row r="144" spans="1:17" ht="15">
      <c r="B144" s="1125">
        <v>1</v>
      </c>
      <c r="C144" s="1136">
        <v>98</v>
      </c>
      <c r="D144" s="2447" t="s">
        <v>2446</v>
      </c>
      <c r="E144" s="1137">
        <v>102</v>
      </c>
      <c r="F144" s="1140">
        <v>100</v>
      </c>
      <c r="G144" s="2447" t="s">
        <v>2446</v>
      </c>
      <c r="H144" s="1139">
        <v>105</v>
      </c>
      <c r="I144" s="2446" t="s">
        <v>2445</v>
      </c>
      <c r="J144" s="1136">
        <v>18</v>
      </c>
      <c r="K144" s="1128">
        <f>ROUND(100+(J144-J140)*K139*100,1)</f>
        <v>103.2</v>
      </c>
    </row>
    <row r="145" spans="2:11" ht="15.75" thickBot="1">
      <c r="B145" s="2448" t="s">
        <v>2447</v>
      </c>
      <c r="C145" s="1130">
        <f>ROUND(MAX(C139:C144)/MIN(C139:C144)-1,3)</f>
        <v>7.2999999999999995E-2</v>
      </c>
      <c r="D145" s="1131"/>
      <c r="E145" s="1131"/>
      <c r="F145" s="2449" t="s">
        <v>2448</v>
      </c>
      <c r="G145" s="2450"/>
      <c r="H145" s="2451"/>
      <c r="I145" s="2452" t="s">
        <v>2445</v>
      </c>
      <c r="J145" s="1142">
        <v>8</v>
      </c>
      <c r="K145" s="1129">
        <f>ROUND(100+(J145-J140)*K139*100,1)</f>
        <v>99.2</v>
      </c>
    </row>
    <row r="147" spans="2:11">
      <c r="B147" s="2433" t="s">
        <v>2449</v>
      </c>
    </row>
    <row r="148" spans="2:11">
      <c r="B148" s="2433"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7"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2451</v>
      </c>
      <c r="C1" s="1726"/>
      <c r="D1" s="2453"/>
      <c r="E1" s="2382"/>
      <c r="F1" s="1740" t="s">
        <v>2341</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77.75</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2343</v>
      </c>
      <c r="B4" s="381"/>
      <c r="C4" s="3020" t="s">
        <v>2344</v>
      </c>
      <c r="D4" s="3021"/>
      <c r="E4" s="3022" t="s">
        <v>2345</v>
      </c>
      <c r="F4" s="3023"/>
      <c r="G4" s="3020" t="s">
        <v>2346</v>
      </c>
      <c r="H4" s="3021"/>
      <c r="I4" s="3020" t="s">
        <v>2347</v>
      </c>
      <c r="J4" s="3021"/>
      <c r="K4" s="594"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36" t="s">
        <v>2346</v>
      </c>
      <c r="AC4" s="3017" t="s">
        <v>2347</v>
      </c>
    </row>
    <row r="5" spans="1:29" ht="15">
      <c r="A5" s="383"/>
      <c r="B5" s="384"/>
      <c r="C5" s="3039" t="s">
        <v>2350</v>
      </c>
      <c r="D5" s="3040"/>
      <c r="E5" s="3065" t="s">
        <v>2351</v>
      </c>
      <c r="F5" s="3038"/>
      <c r="G5" s="3039" t="s">
        <v>2352</v>
      </c>
      <c r="H5" s="3040"/>
      <c r="I5" s="3039" t="s">
        <v>2353</v>
      </c>
      <c r="J5" s="3040"/>
      <c r="K5" s="594"/>
      <c r="L5" s="1242"/>
      <c r="M5" s="1243"/>
      <c r="N5" s="1243"/>
      <c r="O5" s="1243"/>
      <c r="P5" s="3026"/>
      <c r="Q5" s="3027"/>
      <c r="R5" s="3032"/>
      <c r="S5" s="3033"/>
      <c r="T5" s="3032"/>
      <c r="U5" s="3033"/>
      <c r="V5" s="3036"/>
      <c r="W5" s="3036"/>
      <c r="X5" s="1900"/>
      <c r="Y5" s="3032"/>
      <c r="Z5" s="3033"/>
      <c r="AA5" s="3018"/>
      <c r="AB5" s="3036"/>
      <c r="AC5" s="3018"/>
    </row>
    <row r="6" spans="1:29" ht="15.75" thickBot="1">
      <c r="A6" s="385"/>
      <c r="B6" s="386"/>
      <c r="C6" s="3041" t="s">
        <v>2354</v>
      </c>
      <c r="D6" s="3042"/>
      <c r="E6" s="3043" t="s">
        <v>2354</v>
      </c>
      <c r="F6" s="3044"/>
      <c r="G6" s="3041" t="s">
        <v>2354</v>
      </c>
      <c r="H6" s="3042"/>
      <c r="I6" s="3041" t="s">
        <v>2354</v>
      </c>
      <c r="J6" s="3042"/>
      <c r="K6" s="594" t="s">
        <v>2355</v>
      </c>
      <c r="L6" s="1242"/>
      <c r="M6" s="1243"/>
      <c r="N6" s="1243"/>
      <c r="O6" s="1243"/>
      <c r="P6" s="3028"/>
      <c r="Q6" s="3029"/>
      <c r="R6" s="3032"/>
      <c r="S6" s="3033"/>
      <c r="T6" s="3034"/>
      <c r="U6" s="3035"/>
      <c r="V6" s="3036"/>
      <c r="W6" s="3036"/>
      <c r="X6" s="1900"/>
      <c r="Y6" s="3034"/>
      <c r="Z6" s="3035"/>
      <c r="AA6" s="3019"/>
      <c r="AB6" s="3036"/>
      <c r="AC6" s="3019"/>
    </row>
    <row r="7" spans="1:29" s="35" customFormat="1" ht="15.75" thickBot="1">
      <c r="A7" s="387" t="s">
        <v>2356</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2" t="s">
        <v>2357</v>
      </c>
      <c r="Q7" s="3054"/>
      <c r="R7" s="749" t="s">
        <v>25</v>
      </c>
      <c r="S7" s="750">
        <f t="shared" ref="S7:S15" si="0">F7</f>
        <v>0</v>
      </c>
      <c r="T7" s="749" t="s">
        <v>25</v>
      </c>
      <c r="U7" s="750">
        <f t="shared" ref="U7:U15" si="1">H7</f>
        <v>0</v>
      </c>
      <c r="V7" s="749" t="s">
        <v>25</v>
      </c>
      <c r="W7" s="750">
        <f t="shared" ref="W7:W15" si="2">J7</f>
        <v>0</v>
      </c>
      <c r="X7" s="751"/>
      <c r="Y7" s="3052" t="s">
        <v>2357</v>
      </c>
      <c r="Z7" s="3053"/>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2" t="s">
        <v>2360</v>
      </c>
      <c r="Q8" s="3053"/>
      <c r="R8" s="749" t="s">
        <v>25</v>
      </c>
      <c r="S8" s="750">
        <f t="shared" si="0"/>
        <v>0</v>
      </c>
      <c r="T8" s="749" t="s">
        <v>25</v>
      </c>
      <c r="U8" s="750">
        <f t="shared" si="1"/>
        <v>0</v>
      </c>
      <c r="V8" s="749" t="s">
        <v>25</v>
      </c>
      <c r="W8" s="750">
        <f t="shared" si="2"/>
        <v>0</v>
      </c>
      <c r="X8" s="751"/>
      <c r="Y8" s="3052" t="s">
        <v>2360</v>
      </c>
      <c r="Z8" s="3053"/>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5"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71.25">
      <c r="A15" s="419" t="s">
        <v>2367</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8" t="s">
        <v>2368</v>
      </c>
      <c r="Q15" s="1899" t="str">
        <f t="shared" si="6"/>
        <v>商业繁华度</v>
      </c>
      <c r="R15" s="753" t="s">
        <v>25</v>
      </c>
      <c r="S15" s="754">
        <f t="shared" si="0"/>
        <v>100</v>
      </c>
      <c r="T15" s="753" t="s">
        <v>25</v>
      </c>
      <c r="U15" s="754">
        <f t="shared" si="1"/>
        <v>100</v>
      </c>
      <c r="V15" s="753" t="s">
        <v>25</v>
      </c>
      <c r="W15" s="754">
        <f t="shared" si="2"/>
        <v>100</v>
      </c>
      <c r="X15" s="1900"/>
      <c r="Y15" s="3045"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59"/>
      <c r="Q16" s="1899"/>
      <c r="R16" s="753"/>
      <c r="S16" s="754"/>
      <c r="T16" s="753"/>
      <c r="U16" s="754"/>
      <c r="V16" s="753"/>
      <c r="W16" s="754"/>
      <c r="X16" s="1900"/>
      <c r="Y16" s="3046"/>
      <c r="Z16" s="1902"/>
      <c r="AA16" s="1903">
        <v>1</v>
      </c>
      <c r="AB16" s="1903">
        <v>1</v>
      </c>
      <c r="AC16" s="1903">
        <v>1</v>
      </c>
    </row>
    <row r="17" spans="1:29" ht="99.75">
      <c r="A17" s="408"/>
      <c r="B17" s="431" t="s">
        <v>1752</v>
      </c>
      <c r="C17" s="2406" t="str">
        <f>估价对象房地状况!C6</f>
        <v>估价对象周边有通28路、专47路等公交线路，距地铁亦庄线（经海路站）约2.6公里，综合评价交通便捷度一般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9"/>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7"/>
      <c r="F18" s="433"/>
      <c r="G18" s="2407"/>
      <c r="H18" s="427"/>
      <c r="I18" s="1467"/>
      <c r="J18" s="427"/>
      <c r="K18" s="599"/>
      <c r="L18" s="1252"/>
      <c r="M18" s="1243"/>
      <c r="N18" s="1243"/>
      <c r="O18" s="1243"/>
      <c r="P18" s="3059"/>
      <c r="Q18" s="1899"/>
      <c r="R18" s="753"/>
      <c r="S18" s="754"/>
      <c r="T18" s="753"/>
      <c r="U18" s="754"/>
      <c r="V18" s="753"/>
      <c r="W18" s="754"/>
      <c r="X18" s="1900"/>
      <c r="Y18" s="3046"/>
      <c r="Z18" s="1902"/>
      <c r="AA18" s="1903">
        <v>1</v>
      </c>
      <c r="AB18" s="1903">
        <v>1</v>
      </c>
      <c r="AC18" s="1903">
        <v>1</v>
      </c>
    </row>
    <row r="19" spans="1:29" ht="42.75">
      <c r="A19" s="408"/>
      <c r="B19" s="431" t="s">
        <v>2453</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9"/>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2"/>
      <c r="M20" s="1243"/>
      <c r="N20" s="1243"/>
      <c r="O20" s="1243"/>
      <c r="P20" s="3059"/>
      <c r="Q20" s="1899"/>
      <c r="R20" s="753"/>
      <c r="S20" s="754"/>
      <c r="T20" s="753"/>
      <c r="U20" s="754"/>
      <c r="V20" s="753"/>
      <c r="W20" s="754"/>
      <c r="X20" s="1900"/>
      <c r="Y20" s="3046"/>
      <c r="Z20" s="1902"/>
      <c r="AA20" s="1903">
        <v>1</v>
      </c>
      <c r="AB20" s="1903">
        <v>1</v>
      </c>
      <c r="AC20" s="1903">
        <v>1</v>
      </c>
    </row>
    <row r="21" spans="1:29" ht="15">
      <c r="A21" s="408"/>
      <c r="B21" s="2408" t="s">
        <v>2454</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9"/>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8"/>
      <c r="L22" s="1252"/>
      <c r="M22" s="1243"/>
      <c r="N22" s="1243"/>
      <c r="O22" s="1243"/>
      <c r="P22" s="3059"/>
      <c r="Q22" s="1899"/>
      <c r="R22" s="753"/>
      <c r="S22" s="754"/>
      <c r="T22" s="753"/>
      <c r="U22" s="754"/>
      <c r="V22" s="753"/>
      <c r="W22" s="754"/>
      <c r="X22" s="1900"/>
      <c r="Y22" s="3046"/>
      <c r="Z22" s="1902"/>
      <c r="AA22" s="1903">
        <v>1</v>
      </c>
      <c r="AB22" s="1903">
        <v>1</v>
      </c>
      <c r="AC22" s="1903">
        <v>1</v>
      </c>
    </row>
    <row r="23" spans="1:29" ht="57">
      <c r="A23" s="408"/>
      <c r="B23" s="431" t="s">
        <v>1757</v>
      </c>
      <c r="C23" s="2457" t="str">
        <f>估价对象房地状况!C9</f>
        <v>区域自然环境：金马公园；人文环境；综合评价环境状况一般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9"/>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2"/>
      <c r="M24" s="1243"/>
      <c r="N24" s="1243"/>
      <c r="O24" s="1243"/>
      <c r="P24" s="3059"/>
      <c r="Q24" s="1899"/>
      <c r="R24" s="753"/>
      <c r="S24" s="754"/>
      <c r="T24" s="753"/>
      <c r="U24" s="754"/>
      <c r="V24" s="753"/>
      <c r="W24" s="754"/>
      <c r="X24" s="1900"/>
      <c r="Y24" s="3046"/>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9"/>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9"/>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9"/>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9"/>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9"/>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9"/>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2372</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7" t="s">
        <v>2374</v>
      </c>
      <c r="Q32" s="1899" t="str">
        <f t="shared" si="11"/>
        <v>商业类型</v>
      </c>
      <c r="R32" s="753" t="s">
        <v>25</v>
      </c>
      <c r="S32" s="754">
        <f t="shared" si="12"/>
        <v>100</v>
      </c>
      <c r="T32" s="753" t="s">
        <v>25</v>
      </c>
      <c r="U32" s="754">
        <f t="shared" si="13"/>
        <v>100</v>
      </c>
      <c r="V32" s="753" t="s">
        <v>25</v>
      </c>
      <c r="W32" s="754">
        <f t="shared" si="14"/>
        <v>100</v>
      </c>
      <c r="X32" s="1900"/>
      <c r="Y32" s="3050" t="s">
        <v>2374</v>
      </c>
      <c r="Z32" s="1902" t="str">
        <f t="shared" si="15"/>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2376</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8" t="s">
        <v>2374</v>
      </c>
      <c r="Q38" s="1899" t="str">
        <f t="shared" si="11"/>
        <v>业态</v>
      </c>
      <c r="R38" s="753" t="s">
        <v>25</v>
      </c>
      <c r="S38" s="754">
        <f t="shared" si="12"/>
        <v>100</v>
      </c>
      <c r="T38" s="753" t="s">
        <v>25</v>
      </c>
      <c r="U38" s="754">
        <f t="shared" si="13"/>
        <v>100</v>
      </c>
      <c r="V38" s="753" t="s">
        <v>25</v>
      </c>
      <c r="W38" s="754">
        <f t="shared" si="14"/>
        <v>100</v>
      </c>
      <c r="X38" s="1900"/>
      <c r="Y38" s="3050" t="s">
        <v>2374</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2385</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2386</v>
      </c>
      <c r="B47" s="461"/>
      <c r="C47" s="1501" t="s">
        <v>1</v>
      </c>
      <c r="D47" s="1502"/>
      <c r="E47" s="1503"/>
      <c r="F47" s="1504"/>
      <c r="G47" s="1505"/>
      <c r="H47" s="1506"/>
      <c r="I47" s="1503"/>
      <c r="J47" s="1506"/>
      <c r="K47" s="762"/>
      <c r="L47" s="1255"/>
      <c r="M47" s="1256"/>
      <c r="N47" s="1243"/>
      <c r="O47" s="1256"/>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5"/>
      <c r="M48" s="1256"/>
      <c r="N48" s="1243"/>
      <c r="O48" s="1256"/>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5"/>
      <c r="M49" s="1256"/>
      <c r="N49" s="1243"/>
      <c r="O49" s="1256"/>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2473</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2356</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2358</v>
      </c>
      <c r="B61" s="491"/>
      <c r="C61" s="503" t="s">
        <v>2359</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2362</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2365</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2367</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2372</v>
      </c>
      <c r="B100" s="509" t="s">
        <v>2475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2424</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2478</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2480</v>
      </c>
      <c r="C1" s="1726"/>
      <c r="D1" s="1739"/>
      <c r="E1" s="2382"/>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2009</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2010</v>
      </c>
      <c r="B3" s="593" t="e">
        <f ca="1">ROUND(IF(D2="——",C50,IF(C2="万元",B2*10000/D3,B2/D3)),0)</f>
        <v>#DIV/0!</v>
      </c>
      <c r="C3" s="379" t="s">
        <v>2342</v>
      </c>
      <c r="D3" s="378">
        <f>IF(C1="仅计算典型户型",'数据-取费表'!E5,'数据-取费表'!B5)</f>
        <v>77.75</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2343</v>
      </c>
      <c r="B4" s="381"/>
      <c r="C4" s="3020" t="s">
        <v>2344</v>
      </c>
      <c r="D4" s="3021"/>
      <c r="E4" s="3022" t="s">
        <v>2345</v>
      </c>
      <c r="F4" s="3023"/>
      <c r="G4" s="3020" t="s">
        <v>2346</v>
      </c>
      <c r="H4" s="3021"/>
      <c r="I4" s="3020" t="s">
        <v>2347</v>
      </c>
      <c r="J4" s="3021"/>
      <c r="K4" s="594" t="s">
        <v>2348</v>
      </c>
      <c r="L4" s="1242"/>
      <c r="M4" s="1243"/>
      <c r="N4" s="1243"/>
      <c r="O4" s="1243"/>
      <c r="P4" s="3066" t="s">
        <v>2349</v>
      </c>
      <c r="Q4" s="3025"/>
      <c r="R4" s="3030" t="s">
        <v>2345</v>
      </c>
      <c r="S4" s="3031"/>
      <c r="T4" s="3030" t="s">
        <v>2346</v>
      </c>
      <c r="U4" s="3031"/>
      <c r="V4" s="3036" t="s">
        <v>2347</v>
      </c>
      <c r="W4" s="3036"/>
      <c r="X4" s="1900"/>
      <c r="Y4" s="3030" t="s">
        <v>2349</v>
      </c>
      <c r="Z4" s="3031"/>
      <c r="AA4" s="3017" t="s">
        <v>2345</v>
      </c>
      <c r="AB4" s="3017" t="s">
        <v>2346</v>
      </c>
      <c r="AC4" s="3017" t="s">
        <v>2347</v>
      </c>
    </row>
    <row r="5" spans="1:29" ht="15">
      <c r="A5" s="383"/>
      <c r="B5" s="384"/>
      <c r="C5" s="3039" t="s">
        <v>2350</v>
      </c>
      <c r="D5" s="3040"/>
      <c r="E5" s="3065" t="s">
        <v>2351</v>
      </c>
      <c r="F5" s="3038"/>
      <c r="G5" s="3039" t="s">
        <v>2352</v>
      </c>
      <c r="H5" s="3040"/>
      <c r="I5" s="3039" t="s">
        <v>2353</v>
      </c>
      <c r="J5" s="3040"/>
      <c r="K5" s="594"/>
      <c r="L5" s="1242"/>
      <c r="M5" s="1243"/>
      <c r="N5" s="1243"/>
      <c r="O5" s="1243"/>
      <c r="P5" s="3067"/>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594" t="s">
        <v>2355</v>
      </c>
      <c r="L6" s="1242"/>
      <c r="M6" s="1243"/>
      <c r="N6" s="1243"/>
      <c r="O6" s="1243"/>
      <c r="P6" s="306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54" t="s">
        <v>2357</v>
      </c>
      <c r="Q7" s="3054"/>
      <c r="R7" s="749" t="s">
        <v>25</v>
      </c>
      <c r="S7" s="750">
        <f t="shared" ref="S7:S15" si="0">F7</f>
        <v>0</v>
      </c>
      <c r="T7" s="749" t="s">
        <v>25</v>
      </c>
      <c r="U7" s="750">
        <f t="shared" ref="U7:U15" si="1">H7</f>
        <v>0</v>
      </c>
      <c r="V7" s="749" t="s">
        <v>25</v>
      </c>
      <c r="W7" s="750">
        <f t="shared" ref="W7:W15" si="2">J7</f>
        <v>0</v>
      </c>
      <c r="X7" s="751"/>
      <c r="Y7" s="3052" t="s">
        <v>2357</v>
      </c>
      <c r="Z7" s="3053"/>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4" t="s">
        <v>2360</v>
      </c>
      <c r="Q8" s="3053"/>
      <c r="R8" s="749" t="s">
        <v>25</v>
      </c>
      <c r="S8" s="750">
        <f t="shared" si="0"/>
        <v>0</v>
      </c>
      <c r="T8" s="749" t="s">
        <v>25</v>
      </c>
      <c r="U8" s="750">
        <f t="shared" si="1"/>
        <v>0</v>
      </c>
      <c r="V8" s="749" t="s">
        <v>25</v>
      </c>
      <c r="W8" s="750">
        <f t="shared" si="2"/>
        <v>0</v>
      </c>
      <c r="X8" s="751"/>
      <c r="Y8" s="3052" t="s">
        <v>2360</v>
      </c>
      <c r="Z8" s="3053"/>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3"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71.25">
      <c r="A15" s="419" t="s">
        <v>2367</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5" t="s">
        <v>2368</v>
      </c>
      <c r="Q15" s="1899" t="str">
        <f t="shared" si="6"/>
        <v>办公集聚程度</v>
      </c>
      <c r="R15" s="753" t="s">
        <v>25</v>
      </c>
      <c r="S15" s="754">
        <f t="shared" si="0"/>
        <v>100</v>
      </c>
      <c r="T15" s="753" t="s">
        <v>25</v>
      </c>
      <c r="U15" s="754">
        <f t="shared" si="1"/>
        <v>100</v>
      </c>
      <c r="V15" s="753" t="s">
        <v>25</v>
      </c>
      <c r="W15" s="754">
        <f t="shared" si="2"/>
        <v>100</v>
      </c>
      <c r="X15" s="1900"/>
      <c r="Y15" s="3045" t="s">
        <v>2368</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2"/>
      <c r="M16" s="1243"/>
      <c r="N16" s="1243"/>
      <c r="O16" s="1243"/>
      <c r="P16" s="3027"/>
      <c r="Q16" s="1899"/>
      <c r="R16" s="753"/>
      <c r="S16" s="754"/>
      <c r="T16" s="753"/>
      <c r="U16" s="754"/>
      <c r="V16" s="753"/>
      <c r="W16" s="754"/>
      <c r="X16" s="1900"/>
      <c r="Y16" s="3046"/>
      <c r="Z16" s="1902"/>
      <c r="AA16" s="1903">
        <v>1</v>
      </c>
      <c r="AB16" s="1903">
        <v>1</v>
      </c>
      <c r="AC16" s="1903">
        <v>1</v>
      </c>
    </row>
    <row r="17" spans="1:29" ht="99.75">
      <c r="A17" s="408"/>
      <c r="B17" s="615" t="s">
        <v>1752</v>
      </c>
      <c r="C17" s="2468" t="str">
        <f>估价对象房地状况!C6</f>
        <v>估价对象周边有通28路、专47路等公交线路，距地铁亦庄线（经海路站）约2.6公里，综合评价交通便捷度一般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7"/>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c r="D18" s="430"/>
      <c r="E18" s="2407"/>
      <c r="F18" s="430"/>
      <c r="G18" s="1467"/>
      <c r="H18" s="427"/>
      <c r="I18" s="1467"/>
      <c r="J18" s="427"/>
      <c r="K18" s="599"/>
      <c r="L18" s="1252"/>
      <c r="M18" s="1243"/>
      <c r="N18" s="1243"/>
      <c r="O18" s="1243"/>
      <c r="P18" s="3027"/>
      <c r="Q18" s="1899"/>
      <c r="R18" s="753"/>
      <c r="S18" s="754"/>
      <c r="T18" s="753"/>
      <c r="U18" s="754"/>
      <c r="V18" s="753"/>
      <c r="W18" s="754"/>
      <c r="X18" s="1900"/>
      <c r="Y18" s="3046"/>
      <c r="Z18" s="1902"/>
      <c r="AA18" s="1903">
        <v>1</v>
      </c>
      <c r="AB18" s="1903">
        <v>1</v>
      </c>
      <c r="AC18" s="1903">
        <v>1</v>
      </c>
    </row>
    <row r="19" spans="1:29" ht="42.75">
      <c r="A19" s="408"/>
      <c r="B19" s="615" t="s">
        <v>2482</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7"/>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1"/>
      <c r="D20" s="427"/>
      <c r="E20" s="2404"/>
      <c r="F20" s="427"/>
      <c r="G20" s="428"/>
      <c r="H20" s="427"/>
      <c r="I20" s="428"/>
      <c r="J20" s="427"/>
      <c r="K20" s="599"/>
      <c r="L20" s="1252"/>
      <c r="M20" s="1243"/>
      <c r="N20" s="1243"/>
      <c r="O20" s="1243"/>
      <c r="P20" s="3027"/>
      <c r="Q20" s="1899"/>
      <c r="R20" s="753"/>
      <c r="S20" s="754"/>
      <c r="T20" s="753"/>
      <c r="U20" s="754"/>
      <c r="V20" s="753"/>
      <c r="W20" s="754"/>
      <c r="X20" s="1900"/>
      <c r="Y20" s="3046"/>
      <c r="Z20" s="1902"/>
      <c r="AA20" s="1903">
        <v>1</v>
      </c>
      <c r="AB20" s="1903">
        <v>1</v>
      </c>
      <c r="AC20" s="1903">
        <v>1</v>
      </c>
    </row>
    <row r="21" spans="1:29" ht="15">
      <c r="A21" s="408"/>
      <c r="B21" s="617" t="s">
        <v>2483</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7"/>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1"/>
      <c r="H22" s="427"/>
      <c r="I22" s="1471"/>
      <c r="J22" s="427"/>
      <c r="K22" s="1468"/>
      <c r="L22" s="1252"/>
      <c r="M22" s="1243"/>
      <c r="N22" s="1243"/>
      <c r="O22" s="1243"/>
      <c r="P22" s="3027"/>
      <c r="Q22" s="1899"/>
      <c r="R22" s="753"/>
      <c r="S22" s="754"/>
      <c r="T22" s="753"/>
      <c r="U22" s="754"/>
      <c r="V22" s="753"/>
      <c r="W22" s="754"/>
      <c r="X22" s="1900"/>
      <c r="Y22" s="3046"/>
      <c r="Z22" s="1902"/>
      <c r="AA22" s="1903">
        <v>1</v>
      </c>
      <c r="AB22" s="1903">
        <v>1</v>
      </c>
      <c r="AC22" s="1903">
        <v>1</v>
      </c>
    </row>
    <row r="23" spans="1:29" ht="57">
      <c r="A23" s="408"/>
      <c r="B23" s="615" t="s">
        <v>2484</v>
      </c>
      <c r="C23" s="2468" t="str">
        <f>估价对象房地状况!C9</f>
        <v>区域自然环境：金马公园；人文环境；综合评价环境状况一般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7"/>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1"/>
      <c r="D24" s="427"/>
      <c r="E24" s="2404"/>
      <c r="F24" s="427"/>
      <c r="G24" s="428"/>
      <c r="H24" s="427"/>
      <c r="I24" s="428"/>
      <c r="J24" s="427"/>
      <c r="K24" s="599"/>
      <c r="L24" s="1252"/>
      <c r="M24" s="1243"/>
      <c r="N24" s="1243"/>
      <c r="O24" s="1243"/>
      <c r="P24" s="3027"/>
      <c r="Q24" s="1899"/>
      <c r="R24" s="753"/>
      <c r="S24" s="754"/>
      <c r="T24" s="753"/>
      <c r="U24" s="754"/>
      <c r="V24" s="753"/>
      <c r="W24" s="754"/>
      <c r="X24" s="1900"/>
      <c r="Y24" s="3046"/>
      <c r="Z24" s="1902"/>
      <c r="AA24" s="1903">
        <v>1</v>
      </c>
      <c r="AB24" s="1903">
        <v>1</v>
      </c>
      <c r="AC24" s="1903">
        <v>1</v>
      </c>
    </row>
    <row r="25" spans="1:29" ht="27">
      <c r="A25" s="383"/>
      <c r="B25" s="615" t="s">
        <v>2485</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27"/>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2"/>
      <c r="M26" s="1243"/>
      <c r="N26" s="1243"/>
      <c r="O26" s="1243"/>
      <c r="P26" s="3027"/>
      <c r="Q26" s="1899"/>
      <c r="R26" s="753"/>
      <c r="S26" s="754"/>
      <c r="T26" s="753"/>
      <c r="U26" s="754"/>
      <c r="V26" s="753"/>
      <c r="W26" s="754"/>
      <c r="X26" s="1900"/>
      <c r="Y26" s="3046"/>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7"/>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2486</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27"/>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7"/>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7"/>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7"/>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2372</v>
      </c>
      <c r="B33" s="28" t="s">
        <v>2487</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9" t="s">
        <v>2374</v>
      </c>
      <c r="Q33" s="1899" t="str">
        <f t="shared" si="11"/>
        <v>建筑类型</v>
      </c>
      <c r="R33" s="753" t="s">
        <v>25</v>
      </c>
      <c r="S33" s="754">
        <f t="shared" si="12"/>
        <v>100</v>
      </c>
      <c r="T33" s="753" t="s">
        <v>25</v>
      </c>
      <c r="U33" s="754">
        <f t="shared" si="13"/>
        <v>100</v>
      </c>
      <c r="V33" s="753" t="s">
        <v>25</v>
      </c>
      <c r="W33" s="754">
        <f t="shared" si="14"/>
        <v>100</v>
      </c>
      <c r="X33" s="1900"/>
      <c r="Y33" s="3050" t="s">
        <v>2374</v>
      </c>
      <c r="Z33" s="1902" t="str">
        <f t="shared" si="15"/>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0"/>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0"/>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0"/>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0"/>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0"/>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0" t="s">
        <v>2374</v>
      </c>
      <c r="Q39" s="1899" t="str">
        <f t="shared" si="11"/>
        <v>物业管理</v>
      </c>
      <c r="R39" s="753" t="s">
        <v>25</v>
      </c>
      <c r="S39" s="754">
        <f t="shared" si="12"/>
        <v>100</v>
      </c>
      <c r="T39" s="753" t="s">
        <v>25</v>
      </c>
      <c r="U39" s="754">
        <f t="shared" si="13"/>
        <v>100</v>
      </c>
      <c r="V39" s="753" t="s">
        <v>25</v>
      </c>
      <c r="W39" s="754">
        <f t="shared" si="14"/>
        <v>100</v>
      </c>
      <c r="X39" s="1900"/>
      <c r="Y39" s="3050" t="s">
        <v>2374</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0"/>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0"/>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0"/>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0"/>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2385</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70"/>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0"/>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0"/>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1"/>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2386</v>
      </c>
      <c r="B48" s="461"/>
      <c r="C48" s="1501" t="s">
        <v>1</v>
      </c>
      <c r="D48" s="1502"/>
      <c r="E48" s="1503"/>
      <c r="F48" s="1504"/>
      <c r="G48" s="1505"/>
      <c r="H48" s="1506"/>
      <c r="I48" s="1503"/>
      <c r="J48" s="1506"/>
      <c r="K48" s="762"/>
      <c r="L48" s="1255"/>
      <c r="M48" s="1243"/>
      <c r="N48" s="1243"/>
      <c r="O48" s="1243"/>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5"/>
      <c r="M49" s="1243"/>
      <c r="N49" s="1243"/>
      <c r="O49" s="1243"/>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5"/>
      <c r="M50" s="1243"/>
      <c r="N50" s="1243"/>
      <c r="O50" s="1243"/>
      <c r="P50" s="3072"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2362</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2365</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2367</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2494</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2372</v>
      </c>
      <c r="B101" s="509" t="s">
        <v>2420</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2422</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2424</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2495</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2427</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2496</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2497</v>
      </c>
      <c r="C1" s="1726"/>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77.75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0" t="s">
        <v>2344</v>
      </c>
      <c r="D4" s="3021"/>
      <c r="E4" s="3022" t="s">
        <v>2345</v>
      </c>
      <c r="F4" s="3023"/>
      <c r="G4" s="3020" t="s">
        <v>2346</v>
      </c>
      <c r="H4" s="3021"/>
      <c r="I4" s="3020" t="s">
        <v>2347</v>
      </c>
      <c r="J4" s="3021"/>
      <c r="K4" s="594"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18" t="s">
        <v>2346</v>
      </c>
      <c r="AC4" s="3017" t="s">
        <v>2347</v>
      </c>
    </row>
    <row r="5" spans="1:29" ht="15">
      <c r="A5" s="383"/>
      <c r="B5" s="384"/>
      <c r="C5" s="3039" t="s">
        <v>2350</v>
      </c>
      <c r="D5" s="3040"/>
      <c r="E5" s="3065" t="s">
        <v>2351</v>
      </c>
      <c r="F5" s="3038"/>
      <c r="G5" s="3039" t="s">
        <v>2352</v>
      </c>
      <c r="H5" s="3040"/>
      <c r="I5" s="3039" t="s">
        <v>2353</v>
      </c>
      <c r="J5" s="3040"/>
      <c r="K5" s="594"/>
      <c r="L5" s="1242"/>
      <c r="M5" s="1243"/>
      <c r="N5" s="1243"/>
      <c r="O5" s="1243"/>
      <c r="P5" s="3026"/>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594" t="s">
        <v>2355</v>
      </c>
      <c r="L6" s="1242"/>
      <c r="M6" s="1243"/>
      <c r="N6" s="1243"/>
      <c r="O6" s="1243"/>
      <c r="P6" s="302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2" t="s">
        <v>2357</v>
      </c>
      <c r="Q7" s="3054"/>
      <c r="R7" s="749" t="s">
        <v>25</v>
      </c>
      <c r="S7" s="750">
        <f t="shared" ref="S7:S15" si="0">F7</f>
        <v>0</v>
      </c>
      <c r="T7" s="749" t="s">
        <v>25</v>
      </c>
      <c r="U7" s="750">
        <f t="shared" ref="U7:U15" si="1">H7</f>
        <v>0</v>
      </c>
      <c r="V7" s="749" t="s">
        <v>25</v>
      </c>
      <c r="W7" s="750">
        <f t="shared" ref="W7:W15" si="2">J7</f>
        <v>0</v>
      </c>
      <c r="X7" s="751"/>
      <c r="Y7" s="3052" t="s">
        <v>2357</v>
      </c>
      <c r="Z7" s="3053"/>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2" t="s">
        <v>2360</v>
      </c>
      <c r="Q8" s="3053"/>
      <c r="R8" s="749" t="s">
        <v>25</v>
      </c>
      <c r="S8" s="750">
        <f t="shared" si="0"/>
        <v>100</v>
      </c>
      <c r="T8" s="749" t="s">
        <v>25</v>
      </c>
      <c r="U8" s="750">
        <f t="shared" si="1"/>
        <v>100</v>
      </c>
      <c r="V8" s="749" t="s">
        <v>25</v>
      </c>
      <c r="W8" s="750">
        <f t="shared" si="2"/>
        <v>100</v>
      </c>
      <c r="X8" s="751"/>
      <c r="Y8" s="3052" t="s">
        <v>2360</v>
      </c>
      <c r="Z8" s="3053"/>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6"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2367</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5" t="s">
        <v>2368</v>
      </c>
      <c r="Q15" s="1899" t="str">
        <f t="shared" si="6"/>
        <v>产业集聚程度</v>
      </c>
      <c r="R15" s="753" t="s">
        <v>25</v>
      </c>
      <c r="S15" s="754">
        <f t="shared" si="0"/>
        <v>100</v>
      </c>
      <c r="T15" s="753" t="s">
        <v>25</v>
      </c>
      <c r="U15" s="754">
        <f t="shared" si="1"/>
        <v>100</v>
      </c>
      <c r="V15" s="753" t="s">
        <v>25</v>
      </c>
      <c r="W15" s="754">
        <f t="shared" si="2"/>
        <v>100</v>
      </c>
      <c r="X15" s="1900"/>
      <c r="Y15" s="3045"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46"/>
      <c r="Q16" s="1899"/>
      <c r="R16" s="753"/>
      <c r="S16" s="754"/>
      <c r="T16" s="753"/>
      <c r="U16" s="754"/>
      <c r="V16" s="753"/>
      <c r="W16" s="754"/>
      <c r="X16" s="1900"/>
      <c r="Y16" s="3046"/>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7"/>
      <c r="F18" s="433"/>
      <c r="G18" s="2407"/>
      <c r="H18" s="427"/>
      <c r="I18" s="1467"/>
      <c r="J18" s="427"/>
      <c r="K18" s="599"/>
      <c r="L18" s="1252"/>
      <c r="M18" s="1243"/>
      <c r="N18" s="1243"/>
      <c r="O18" s="1251"/>
      <c r="P18" s="3046"/>
      <c r="Q18" s="1899"/>
      <c r="R18" s="753"/>
      <c r="S18" s="754"/>
      <c r="T18" s="753"/>
      <c r="U18" s="754"/>
      <c r="V18" s="753"/>
      <c r="W18" s="754"/>
      <c r="X18" s="1900"/>
      <c r="Y18" s="3046"/>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2"/>
      <c r="M20" s="1243"/>
      <c r="N20" s="1243"/>
      <c r="O20" s="1251"/>
      <c r="P20" s="3046"/>
      <c r="Q20" s="1899"/>
      <c r="R20" s="753"/>
      <c r="S20" s="754"/>
      <c r="T20" s="753"/>
      <c r="U20" s="754"/>
      <c r="V20" s="753"/>
      <c r="W20" s="754"/>
      <c r="X20" s="1900"/>
      <c r="Y20" s="3046"/>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8"/>
      <c r="L22" s="1252"/>
      <c r="M22" s="1243"/>
      <c r="N22" s="1243"/>
      <c r="O22" s="1251"/>
      <c r="P22" s="3046"/>
      <c r="Q22" s="1899"/>
      <c r="R22" s="753"/>
      <c r="S22" s="754"/>
      <c r="T22" s="753"/>
      <c r="U22" s="754"/>
      <c r="V22" s="753"/>
      <c r="W22" s="754"/>
      <c r="X22" s="1900"/>
      <c r="Y22" s="3046"/>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2"/>
      <c r="M24" s="1243"/>
      <c r="N24" s="1243"/>
      <c r="O24" s="1251"/>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2372</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3" t="s">
        <v>2374</v>
      </c>
      <c r="Q29" s="1899" t="str">
        <f t="shared" si="11"/>
        <v>建筑类型</v>
      </c>
      <c r="R29" s="753" t="s">
        <v>25</v>
      </c>
      <c r="S29" s="754">
        <f t="shared" si="12"/>
        <v>100</v>
      </c>
      <c r="T29" s="753" t="s">
        <v>25</v>
      </c>
      <c r="U29" s="754">
        <f t="shared" si="13"/>
        <v>100</v>
      </c>
      <c r="V29" s="753" t="s">
        <v>25</v>
      </c>
      <c r="W29" s="754">
        <f t="shared" si="14"/>
        <v>100</v>
      </c>
      <c r="X29" s="1900"/>
      <c r="Y29" s="3050" t="s">
        <v>2374</v>
      </c>
      <c r="Z29" s="1902" t="str">
        <f t="shared" si="15"/>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2376</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0" t="s">
        <v>2374</v>
      </c>
      <c r="Q35" s="1899" t="str">
        <f t="shared" si="11"/>
        <v>市政基础设施</v>
      </c>
      <c r="R35" s="753" t="s">
        <v>25</v>
      </c>
      <c r="S35" s="754">
        <f t="shared" si="12"/>
        <v>100</v>
      </c>
      <c r="T35" s="753" t="s">
        <v>25</v>
      </c>
      <c r="U35" s="754">
        <f t="shared" si="13"/>
        <v>100</v>
      </c>
      <c r="V35" s="753" t="s">
        <v>25</v>
      </c>
      <c r="W35" s="754">
        <f t="shared" si="14"/>
        <v>100</v>
      </c>
      <c r="X35" s="1900"/>
      <c r="Y35" s="3050" t="s">
        <v>2374</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2386</v>
      </c>
      <c r="B41" s="461"/>
      <c r="C41" s="1501" t="s">
        <v>1</v>
      </c>
      <c r="D41" s="1502"/>
      <c r="E41" s="1503"/>
      <c r="F41" s="1504"/>
      <c r="G41" s="1505"/>
      <c r="H41" s="1506"/>
      <c r="I41" s="1503"/>
      <c r="J41" s="1506"/>
      <c r="K41" s="762"/>
      <c r="L41" s="1255"/>
      <c r="M41" s="1256"/>
      <c r="N41" s="1243"/>
      <c r="O41" s="1256"/>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5"/>
      <c r="M42" s="1256"/>
      <c r="N42" s="1243"/>
      <c r="O42" s="1256"/>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5"/>
      <c r="M43" s="1256"/>
      <c r="N43" s="1256"/>
      <c r="O43" s="1256"/>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2362</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2365</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2367</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2372</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0"/>
      <c r="E1" s="2382"/>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77.75</v>
      </c>
      <c r="E3" s="1091" t="s">
        <v>2509</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2343</v>
      </c>
      <c r="B4" s="381"/>
      <c r="C4" s="3020" t="s">
        <v>2344</v>
      </c>
      <c r="D4" s="3021"/>
      <c r="E4" s="3022" t="s">
        <v>2345</v>
      </c>
      <c r="F4" s="3023"/>
      <c r="G4" s="3020" t="s">
        <v>2346</v>
      </c>
      <c r="H4" s="3021"/>
      <c r="I4" s="3020" t="s">
        <v>2347</v>
      </c>
      <c r="J4" s="3021"/>
      <c r="K4" s="594" t="s">
        <v>2348</v>
      </c>
      <c r="L4" s="1513"/>
      <c r="M4" s="425"/>
      <c r="N4" s="425"/>
      <c r="O4" s="425"/>
      <c r="P4" s="3024" t="s">
        <v>2349</v>
      </c>
      <c r="Q4" s="3025"/>
      <c r="R4" s="3030" t="s">
        <v>2345</v>
      </c>
      <c r="S4" s="3031"/>
      <c r="T4" s="3030" t="s">
        <v>2346</v>
      </c>
      <c r="U4" s="3031"/>
      <c r="V4" s="3036" t="s">
        <v>2347</v>
      </c>
      <c r="W4" s="3036"/>
      <c r="X4" s="1900"/>
      <c r="Y4" s="3030" t="s">
        <v>2349</v>
      </c>
      <c r="Z4" s="3031"/>
      <c r="AA4" s="3017" t="s">
        <v>2345</v>
      </c>
      <c r="AB4" s="3018" t="s">
        <v>2346</v>
      </c>
      <c r="AC4" s="3017" t="s">
        <v>2347</v>
      </c>
    </row>
    <row r="5" spans="1:29" ht="15">
      <c r="A5" s="383"/>
      <c r="B5" s="384"/>
      <c r="C5" s="3039" t="s">
        <v>2350</v>
      </c>
      <c r="D5" s="3040"/>
      <c r="E5" s="3065" t="s">
        <v>2351</v>
      </c>
      <c r="F5" s="3038"/>
      <c r="G5" s="3039" t="s">
        <v>2352</v>
      </c>
      <c r="H5" s="3040"/>
      <c r="I5" s="3039" t="s">
        <v>2353</v>
      </c>
      <c r="J5" s="3040"/>
      <c r="K5" s="594"/>
      <c r="L5" s="1513"/>
      <c r="M5" s="425"/>
      <c r="N5" s="425"/>
      <c r="O5" s="425"/>
      <c r="P5" s="3026"/>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594" t="s">
        <v>2355</v>
      </c>
      <c r="L6" s="1513"/>
      <c r="M6" s="425"/>
      <c r="N6" s="425"/>
      <c r="O6" s="425"/>
      <c r="P6" s="302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2" t="s">
        <v>2357</v>
      </c>
      <c r="Q7" s="3054"/>
      <c r="R7" s="749" t="s">
        <v>25</v>
      </c>
      <c r="S7" s="750">
        <f t="shared" ref="S7:S14" si="0">F7</f>
        <v>0</v>
      </c>
      <c r="T7" s="749" t="s">
        <v>25</v>
      </c>
      <c r="U7" s="750">
        <f t="shared" ref="U7:U14" si="1">H7</f>
        <v>0</v>
      </c>
      <c r="V7" s="749" t="s">
        <v>25</v>
      </c>
      <c r="W7" s="750">
        <f t="shared" ref="W7:W14" si="2">J7</f>
        <v>0</v>
      </c>
      <c r="X7" s="751"/>
      <c r="Y7" s="3052" t="s">
        <v>2357</v>
      </c>
      <c r="Z7" s="3053"/>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2" t="s">
        <v>2360</v>
      </c>
      <c r="Q8" s="3053"/>
      <c r="R8" s="749" t="s">
        <v>25</v>
      </c>
      <c r="S8" s="750">
        <f t="shared" si="0"/>
        <v>0</v>
      </c>
      <c r="T8" s="749" t="s">
        <v>25</v>
      </c>
      <c r="U8" s="750">
        <f t="shared" si="1"/>
        <v>0</v>
      </c>
      <c r="V8" s="749" t="s">
        <v>25</v>
      </c>
      <c r="W8" s="750">
        <f t="shared" si="2"/>
        <v>0</v>
      </c>
      <c r="X8" s="751"/>
      <c r="Y8" s="3052" t="s">
        <v>2360</v>
      </c>
      <c r="Z8" s="3053"/>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6" t="s">
        <v>2363</v>
      </c>
      <c r="Q9" s="1887" t="str">
        <f t="shared" ref="Q9:Q14" si="6">B9</f>
        <v>用途</v>
      </c>
      <c r="R9" s="749" t="s">
        <v>25</v>
      </c>
      <c r="S9" s="750">
        <f t="shared" si="0"/>
        <v>100</v>
      </c>
      <c r="T9" s="749" t="s">
        <v>25</v>
      </c>
      <c r="U9" s="750">
        <f t="shared" si="1"/>
        <v>100</v>
      </c>
      <c r="V9" s="749" t="s">
        <v>25</v>
      </c>
      <c r="W9" s="750">
        <f t="shared" si="2"/>
        <v>100</v>
      </c>
      <c r="X9" s="751"/>
      <c r="Y9" s="2868"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99.75">
      <c r="A14" s="380" t="s">
        <v>2367</v>
      </c>
      <c r="B14" s="613" t="s">
        <v>2510</v>
      </c>
      <c r="C14" s="1479" t="str">
        <f>IF(B1="工业",估价对象房地状况!G4,估价对象房地状况!C6)</f>
        <v>估价对象周边有通28路、专47路等公交线路，距地铁亦庄线（经海路站）约2.6公里，综合评价交通便捷度一般</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45" t="s">
        <v>2368</v>
      </c>
      <c r="Q14" s="1899" t="str">
        <f t="shared" si="6"/>
        <v>交通便捷度</v>
      </c>
      <c r="R14" s="753" t="s">
        <v>25</v>
      </c>
      <c r="S14" s="754">
        <f t="shared" si="0"/>
        <v>100</v>
      </c>
      <c r="T14" s="753" t="s">
        <v>25</v>
      </c>
      <c r="U14" s="754">
        <f t="shared" si="1"/>
        <v>100</v>
      </c>
      <c r="V14" s="753" t="s">
        <v>25</v>
      </c>
      <c r="W14" s="754">
        <f t="shared" si="2"/>
        <v>100</v>
      </c>
      <c r="X14" s="1900"/>
      <c r="Y14" s="3045" t="s">
        <v>2368</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2482</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46"/>
      <c r="Q17" s="1899"/>
      <c r="R17" s="753"/>
      <c r="S17" s="754"/>
      <c r="T17" s="753"/>
      <c r="U17" s="754"/>
      <c r="V17" s="753"/>
      <c r="W17" s="754"/>
      <c r="X17" s="1900"/>
      <c r="Y17" s="3046"/>
      <c r="Z17" s="1902"/>
      <c r="AA17" s="1903">
        <v>1</v>
      </c>
      <c r="AB17" s="1903">
        <v>1</v>
      </c>
      <c r="AC17" s="1903">
        <v>1</v>
      </c>
    </row>
    <row r="18" spans="1:29" ht="15">
      <c r="A18" s="383"/>
      <c r="B18" s="617" t="s">
        <v>2483</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46"/>
      <c r="Q19" s="1899"/>
      <c r="R19" s="753"/>
      <c r="S19" s="754"/>
      <c r="T19" s="753"/>
      <c r="U19" s="754"/>
      <c r="V19" s="753"/>
      <c r="W19" s="754"/>
      <c r="X19" s="1900"/>
      <c r="Y19" s="3046"/>
      <c r="Z19" s="1902"/>
      <c r="AA19" s="1903">
        <v>1</v>
      </c>
      <c r="AB19" s="1903">
        <v>1</v>
      </c>
      <c r="AC19" s="1903">
        <v>1</v>
      </c>
    </row>
    <row r="20" spans="1:29" ht="57">
      <c r="A20" s="383"/>
      <c r="B20" s="615" t="s">
        <v>2511</v>
      </c>
      <c r="C20" s="1481" t="str">
        <f>IF(B1="工业",估价对象房地状况!G7,估价对象房地状况!C9)</f>
        <v>区域自然环境：金马公园；人文环境；综合评价环境状况一般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2372</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73" t="s">
        <v>2374</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2374</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50" t="s">
        <v>2374</v>
      </c>
      <c r="Q32" s="1899" t="str">
        <f t="shared" si="11"/>
        <v>车位类型</v>
      </c>
      <c r="R32" s="753" t="s">
        <v>25</v>
      </c>
      <c r="S32" s="754">
        <f t="shared" si="12"/>
        <v>100</v>
      </c>
      <c r="T32" s="753" t="s">
        <v>25</v>
      </c>
      <c r="U32" s="754">
        <f t="shared" si="13"/>
        <v>100</v>
      </c>
      <c r="V32" s="753" t="s">
        <v>25</v>
      </c>
      <c r="W32" s="754">
        <f t="shared" si="14"/>
        <v>100</v>
      </c>
      <c r="X32" s="1900"/>
      <c r="Y32" s="3050" t="s">
        <v>2374</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2521</v>
      </c>
      <c r="B37" s="1092" t="s">
        <v>2522</v>
      </c>
      <c r="C37" s="1501" t="s">
        <v>1</v>
      </c>
      <c r="D37" s="1502"/>
      <c r="E37" s="1503"/>
      <c r="F37" s="1504"/>
      <c r="G37" s="1505"/>
      <c r="H37" s="1506"/>
      <c r="I37" s="1503"/>
      <c r="J37" s="1506"/>
      <c r="K37" s="603"/>
      <c r="L37" s="1524"/>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2524</v>
      </c>
      <c r="B39" s="474"/>
      <c r="C39" s="1511" t="e">
        <f>R39</f>
        <v>#DIV/0!</v>
      </c>
      <c r="D39" s="1511"/>
      <c r="E39" s="1511"/>
      <c r="F39" s="1511"/>
      <c r="G39" s="1511"/>
      <c r="H39" s="1511"/>
      <c r="I39" s="1511"/>
      <c r="J39" s="1511"/>
      <c r="K39" s="605"/>
      <c r="L39" s="1524"/>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2528</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2529</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0"/>
      <c r="C1" s="1729"/>
      <c r="D1" s="1739"/>
      <c r="E1" s="2382"/>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77.75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0" t="s">
        <v>2344</v>
      </c>
      <c r="D4" s="3021"/>
      <c r="E4" s="3022" t="s">
        <v>2345</v>
      </c>
      <c r="F4" s="3023"/>
      <c r="G4" s="3020" t="s">
        <v>2346</v>
      </c>
      <c r="H4" s="3021"/>
      <c r="I4" s="3020" t="s">
        <v>2347</v>
      </c>
      <c r="J4" s="3021"/>
      <c r="K4" s="594"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18" t="s">
        <v>2346</v>
      </c>
      <c r="AC4" s="3017" t="s">
        <v>2347</v>
      </c>
    </row>
    <row r="5" spans="1:29" ht="15">
      <c r="A5" s="383"/>
      <c r="B5" s="384"/>
      <c r="C5" s="3039" t="s">
        <v>2350</v>
      </c>
      <c r="D5" s="3040"/>
      <c r="E5" s="3065" t="s">
        <v>2351</v>
      </c>
      <c r="F5" s="3038"/>
      <c r="G5" s="3039" t="s">
        <v>2352</v>
      </c>
      <c r="H5" s="3040"/>
      <c r="I5" s="3039" t="s">
        <v>2353</v>
      </c>
      <c r="J5" s="3040"/>
      <c r="K5" s="594"/>
      <c r="L5" s="1242"/>
      <c r="M5" s="1243"/>
      <c r="N5" s="1243"/>
      <c r="O5" s="1243"/>
      <c r="P5" s="3026"/>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594" t="s">
        <v>2355</v>
      </c>
      <c r="L6" s="1242"/>
      <c r="M6" s="1243"/>
      <c r="N6" s="1243"/>
      <c r="O6" s="1243"/>
      <c r="P6" s="302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52" t="s">
        <v>2357</v>
      </c>
      <c r="Q7" s="3054"/>
      <c r="R7" s="749" t="s">
        <v>25</v>
      </c>
      <c r="S7" s="750">
        <f t="shared" ref="S7:S14" si="0">F7</f>
        <v>0</v>
      </c>
      <c r="T7" s="749" t="s">
        <v>25</v>
      </c>
      <c r="U7" s="750">
        <f t="shared" ref="U7:U14" si="1">H7</f>
        <v>0</v>
      </c>
      <c r="V7" s="749" t="s">
        <v>25</v>
      </c>
      <c r="W7" s="750">
        <f t="shared" ref="W7:W14" si="2">J7</f>
        <v>0</v>
      </c>
      <c r="X7" s="751"/>
      <c r="Y7" s="3052" t="s">
        <v>2357</v>
      </c>
      <c r="Z7" s="3053"/>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2" t="s">
        <v>2360</v>
      </c>
      <c r="Q8" s="3053"/>
      <c r="R8" s="749" t="s">
        <v>25</v>
      </c>
      <c r="S8" s="750">
        <f t="shared" si="0"/>
        <v>0</v>
      </c>
      <c r="T8" s="749" t="s">
        <v>25</v>
      </c>
      <c r="U8" s="750">
        <f t="shared" si="1"/>
        <v>0</v>
      </c>
      <c r="V8" s="749" t="s">
        <v>25</v>
      </c>
      <c r="W8" s="750">
        <f t="shared" si="2"/>
        <v>0</v>
      </c>
      <c r="X8" s="751"/>
      <c r="Y8" s="3052" t="s">
        <v>2360</v>
      </c>
      <c r="Z8" s="3053"/>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6" t="s">
        <v>2363</v>
      </c>
      <c r="Q9" s="1887" t="str">
        <f t="shared" ref="Q9:Q14" si="6">B9</f>
        <v>用途</v>
      </c>
      <c r="R9" s="749" t="s">
        <v>25</v>
      </c>
      <c r="S9" s="750">
        <f t="shared" si="0"/>
        <v>100</v>
      </c>
      <c r="T9" s="749" t="s">
        <v>25</v>
      </c>
      <c r="U9" s="750">
        <f t="shared" si="1"/>
        <v>100</v>
      </c>
      <c r="V9" s="749" t="s">
        <v>25</v>
      </c>
      <c r="W9" s="750">
        <f t="shared" si="2"/>
        <v>100</v>
      </c>
      <c r="X9" s="751"/>
      <c r="Y9" s="2868"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99.75">
      <c r="A14" s="419" t="s">
        <v>2367</v>
      </c>
      <c r="B14" s="26" t="s">
        <v>2510</v>
      </c>
      <c r="C14" s="2479" t="str">
        <f>IF(B1="工业",估价对象房地状况!G4,估价对象房地状况!C6)</f>
        <v>估价对象周边有通28路、专47路等公交线路，距地铁亦庄线（经海路站）约2.6公里，综合评价交通便捷度一般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5" t="s">
        <v>2368</v>
      </c>
      <c r="Q14" s="1899" t="str">
        <f t="shared" si="6"/>
        <v>交通便捷度</v>
      </c>
      <c r="R14" s="753" t="s">
        <v>25</v>
      </c>
      <c r="S14" s="754">
        <f t="shared" si="0"/>
        <v>100</v>
      </c>
      <c r="T14" s="753" t="s">
        <v>25</v>
      </c>
      <c r="U14" s="754">
        <f t="shared" si="1"/>
        <v>100</v>
      </c>
      <c r="V14" s="753" t="s">
        <v>25</v>
      </c>
      <c r="W14" s="754">
        <f t="shared" si="2"/>
        <v>100</v>
      </c>
      <c r="X14" s="1900"/>
      <c r="Y14" s="3045"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46"/>
      <c r="Q15" s="1899"/>
      <c r="R15" s="753"/>
      <c r="S15" s="754"/>
      <c r="T15" s="753"/>
      <c r="U15" s="754"/>
      <c r="V15" s="753"/>
      <c r="W15" s="754"/>
      <c r="X15" s="1900"/>
      <c r="Y15" s="3046"/>
      <c r="Z15" s="1902"/>
      <c r="AA15" s="1903">
        <v>1</v>
      </c>
      <c r="AB15" s="1903">
        <v>1</v>
      </c>
      <c r="AC15" s="1903">
        <v>1</v>
      </c>
    </row>
    <row r="16" spans="1:29" ht="42.75">
      <c r="A16" s="408"/>
      <c r="B16" s="615" t="s">
        <v>2482</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46"/>
      <c r="Q17" s="1899"/>
      <c r="R17" s="753"/>
      <c r="S17" s="754"/>
      <c r="T17" s="753"/>
      <c r="U17" s="754"/>
      <c r="V17" s="753"/>
      <c r="W17" s="754"/>
      <c r="X17" s="1900"/>
      <c r="Y17" s="3046"/>
      <c r="Z17" s="1902"/>
      <c r="AA17" s="1903">
        <v>1</v>
      </c>
      <c r="AB17" s="1903">
        <v>1</v>
      </c>
      <c r="AC17" s="1903">
        <v>1</v>
      </c>
    </row>
    <row r="18" spans="1:29" ht="15">
      <c r="A18" s="408"/>
      <c r="B18" s="617" t="s">
        <v>2483</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46"/>
      <c r="Q19" s="1899"/>
      <c r="R19" s="753"/>
      <c r="S19" s="754"/>
      <c r="T19" s="753"/>
      <c r="U19" s="754"/>
      <c r="V19" s="753"/>
      <c r="W19" s="754"/>
      <c r="X19" s="1900"/>
      <c r="Y19" s="3046"/>
      <c r="Z19" s="1902"/>
      <c r="AA19" s="1903">
        <v>1</v>
      </c>
      <c r="AB19" s="1903">
        <v>1</v>
      </c>
      <c r="AC19" s="1903">
        <v>1</v>
      </c>
    </row>
    <row r="20" spans="1:29" ht="57">
      <c r="A20" s="408"/>
      <c r="B20" s="431" t="s">
        <v>2511</v>
      </c>
      <c r="C20" s="2406" t="str">
        <f>IF(B1="工业",估价对象房地状况!G7,估价对象房地状况!C9)</f>
        <v>区域自然环境：金马公园；人文环境；综合评价环境状况一般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46"/>
      <c r="Q21" s="1899"/>
      <c r="R21" s="753"/>
      <c r="S21" s="754"/>
      <c r="T21" s="753"/>
      <c r="U21" s="754"/>
      <c r="V21" s="753"/>
      <c r="W21" s="754"/>
      <c r="X21" s="1900"/>
      <c r="Y21" s="3046"/>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2372</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3" t="s">
        <v>2374</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2374</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0" t="s">
        <v>2374</v>
      </c>
      <c r="Q32" s="1899">
        <f t="shared" si="11"/>
        <v>111</v>
      </c>
      <c r="R32" s="753" t="s">
        <v>25</v>
      </c>
      <c r="S32" s="754">
        <f t="shared" si="12"/>
        <v>100</v>
      </c>
      <c r="T32" s="753" t="s">
        <v>25</v>
      </c>
      <c r="U32" s="754">
        <f t="shared" si="13"/>
        <v>100</v>
      </c>
      <c r="V32" s="753" t="s">
        <v>25</v>
      </c>
      <c r="W32" s="754">
        <f t="shared" si="14"/>
        <v>100</v>
      </c>
      <c r="X32" s="1900"/>
      <c r="Y32" s="3050" t="s">
        <v>2374</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2386</v>
      </c>
      <c r="B35" s="461"/>
      <c r="C35" s="1501" t="s">
        <v>1</v>
      </c>
      <c r="D35" s="1502"/>
      <c r="E35" s="1503"/>
      <c r="F35" s="1504"/>
      <c r="G35" s="1505"/>
      <c r="H35" s="1506"/>
      <c r="I35" s="1503"/>
      <c r="J35" s="1506"/>
      <c r="K35" s="762"/>
      <c r="L35" s="1255"/>
      <c r="M35" s="1256"/>
      <c r="N35" s="1243"/>
      <c r="O35" s="1256"/>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5"/>
      <c r="M36" s="1256"/>
      <c r="N36" s="1243"/>
      <c r="O36" s="1256"/>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5"/>
      <c r="M37" s="1256"/>
      <c r="N37" s="1256"/>
      <c r="O37" s="1256"/>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2362</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2365</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2367</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2372</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2343</v>
      </c>
      <c r="B4" s="381"/>
      <c r="C4" s="3020" t="s">
        <v>2344</v>
      </c>
      <c r="D4" s="3021"/>
      <c r="E4" s="3022" t="s">
        <v>2345</v>
      </c>
      <c r="F4" s="3023"/>
      <c r="G4" s="3020" t="s">
        <v>2346</v>
      </c>
      <c r="H4" s="3021"/>
      <c r="I4" s="3020" t="s">
        <v>2347</v>
      </c>
      <c r="J4" s="3021"/>
      <c r="K4" s="594"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18" t="s">
        <v>2346</v>
      </c>
      <c r="AC4" s="3017" t="s">
        <v>2347</v>
      </c>
    </row>
    <row r="5" spans="1:30" ht="15">
      <c r="A5" s="383"/>
      <c r="B5" s="384"/>
      <c r="C5" s="3039" t="s">
        <v>2350</v>
      </c>
      <c r="D5" s="3040"/>
      <c r="E5" s="3065" t="s">
        <v>2351</v>
      </c>
      <c r="F5" s="3038"/>
      <c r="G5" s="3039" t="s">
        <v>2352</v>
      </c>
      <c r="H5" s="3040"/>
      <c r="I5" s="3039" t="s">
        <v>2353</v>
      </c>
      <c r="J5" s="3040"/>
      <c r="K5" s="594"/>
      <c r="L5" s="1242"/>
      <c r="M5" s="1243"/>
      <c r="N5" s="1243"/>
      <c r="O5" s="1243"/>
      <c r="P5" s="3026"/>
      <c r="Q5" s="3027"/>
      <c r="R5" s="3032"/>
      <c r="S5" s="3033"/>
      <c r="T5" s="3032"/>
      <c r="U5" s="3033"/>
      <c r="V5" s="3036"/>
      <c r="W5" s="3036"/>
      <c r="X5" s="1900"/>
      <c r="Y5" s="3032"/>
      <c r="Z5" s="3033"/>
      <c r="AA5" s="3018"/>
      <c r="AB5" s="3018"/>
      <c r="AC5" s="3018"/>
    </row>
    <row r="6" spans="1:30" ht="15.75" thickBot="1">
      <c r="A6" s="385"/>
      <c r="B6" s="386"/>
      <c r="C6" s="3041" t="s">
        <v>2354</v>
      </c>
      <c r="D6" s="3042"/>
      <c r="E6" s="3043" t="s">
        <v>2354</v>
      </c>
      <c r="F6" s="3044"/>
      <c r="G6" s="3041" t="s">
        <v>2354</v>
      </c>
      <c r="H6" s="3042"/>
      <c r="I6" s="3041" t="s">
        <v>2354</v>
      </c>
      <c r="J6" s="3042"/>
      <c r="K6" s="594" t="s">
        <v>2355</v>
      </c>
      <c r="L6" s="1242"/>
      <c r="M6" s="1243"/>
      <c r="N6" s="1243"/>
      <c r="O6" s="1243"/>
      <c r="P6" s="3028"/>
      <c r="Q6" s="3029"/>
      <c r="R6" s="3032"/>
      <c r="S6" s="3033"/>
      <c r="T6" s="3034"/>
      <c r="U6" s="3035"/>
      <c r="V6" s="3036"/>
      <c r="W6" s="3036"/>
      <c r="X6" s="1900"/>
      <c r="Y6" s="3034"/>
      <c r="Z6" s="3035"/>
      <c r="AA6" s="3019"/>
      <c r="AB6" s="3019"/>
      <c r="AC6" s="3019"/>
    </row>
    <row r="7" spans="1:30" s="35" customFormat="1" ht="15.75" thickBot="1">
      <c r="A7" s="387" t="s">
        <v>2356</v>
      </c>
      <c r="B7" s="388"/>
      <c r="C7" s="389">
        <f>'数据-取费表'!B2</f>
        <v>43073</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52" t="s">
        <v>2357</v>
      </c>
      <c r="Q7" s="3054"/>
      <c r="R7" s="749" t="s">
        <v>25</v>
      </c>
      <c r="S7" s="750">
        <f t="shared" ref="S7:S15" si="0">F7</f>
        <v>0</v>
      </c>
      <c r="T7" s="749" t="s">
        <v>25</v>
      </c>
      <c r="U7" s="750">
        <f t="shared" ref="U7:U15" si="1">H7</f>
        <v>0</v>
      </c>
      <c r="V7" s="749" t="s">
        <v>25</v>
      </c>
      <c r="W7" s="750">
        <f t="shared" ref="W7:W15" si="2">J7</f>
        <v>0</v>
      </c>
      <c r="X7" s="751"/>
      <c r="Y7" s="3052" t="s">
        <v>2357</v>
      </c>
      <c r="Z7" s="3053"/>
      <c r="AA7" s="752" t="e">
        <f>D7/F7</f>
        <v>#DIV/0!</v>
      </c>
      <c r="AB7" s="752" t="e">
        <f>D7/H7</f>
        <v>#DIV/0!</v>
      </c>
      <c r="AC7" s="752" t="e">
        <f>D7/J7</f>
        <v>#DIV/0!</v>
      </c>
    </row>
    <row r="8" spans="1:30" s="35" customFormat="1" ht="15.75" thickBot="1">
      <c r="A8" s="387" t="s">
        <v>2358</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2" t="s">
        <v>2360</v>
      </c>
      <c r="Q8" s="3053"/>
      <c r="R8" s="749" t="s">
        <v>25</v>
      </c>
      <c r="S8" s="750">
        <f t="shared" si="0"/>
        <v>0</v>
      </c>
      <c r="T8" s="749" t="s">
        <v>25</v>
      </c>
      <c r="U8" s="750">
        <f t="shared" si="1"/>
        <v>0</v>
      </c>
      <c r="V8" s="749" t="s">
        <v>25</v>
      </c>
      <c r="W8" s="750">
        <f t="shared" si="2"/>
        <v>0</v>
      </c>
      <c r="X8" s="751"/>
      <c r="Y8" s="3052" t="s">
        <v>2360</v>
      </c>
      <c r="Z8" s="3053"/>
      <c r="AA8" s="752" t="e">
        <f t="shared" ref="AA8:AA45" si="3">D8/F8</f>
        <v>#DIV/0!</v>
      </c>
      <c r="AB8" s="752" t="e">
        <f t="shared" ref="AB8:AB45" si="4">D8/H8</f>
        <v>#DIV/0!</v>
      </c>
      <c r="AC8" s="752" t="e">
        <f t="shared" ref="AC8:AC45" si="5">D8/J8</f>
        <v>#DIV/0!</v>
      </c>
    </row>
    <row r="9" spans="1:30" s="35" customFormat="1">
      <c r="A9" s="395" t="s">
        <v>2361</v>
      </c>
      <c r="B9" s="28" t="s">
        <v>2362</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6"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56"/>
      <c r="Q10" s="1887" t="str">
        <f t="shared" si="6"/>
        <v>土地使用年限（年）</v>
      </c>
      <c r="R10" s="749" t="s">
        <v>25</v>
      </c>
      <c r="S10" s="750">
        <f t="shared" si="0"/>
        <v>103</v>
      </c>
      <c r="T10" s="749" t="s">
        <v>25</v>
      </c>
      <c r="U10" s="750">
        <f t="shared" si="1"/>
        <v>103</v>
      </c>
      <c r="V10" s="749" t="s">
        <v>25</v>
      </c>
      <c r="W10" s="750">
        <f t="shared" si="2"/>
        <v>103</v>
      </c>
      <c r="X10" s="751"/>
      <c r="Y10" s="2868"/>
      <c r="Z10" s="23" t="str">
        <f t="shared" si="7"/>
        <v>土地使用年限（年）</v>
      </c>
      <c r="AA10" s="752">
        <f t="shared" si="3"/>
        <v>0.970873786407767</v>
      </c>
      <c r="AB10" s="752">
        <f t="shared" si="4"/>
        <v>0.970873786407767</v>
      </c>
      <c r="AC10" s="752">
        <f t="shared" si="5"/>
        <v>0.970873786407767</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6"/>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85.5">
      <c r="A15" s="380" t="s">
        <v>2367</v>
      </c>
      <c r="B15" s="1486" t="s">
        <v>1741</v>
      </c>
      <c r="C15" s="2467" t="str">
        <f>估价对象房地状况!C15</f>
        <v>估价对象周边有富力尚悦居、珠江四季、星悦国际等住宅小区，综合评价居住社区成熟度较好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5" t="s">
        <v>2368</v>
      </c>
      <c r="Q15" s="1899" t="str">
        <f t="shared" si="6"/>
        <v>居住社区成熟度</v>
      </c>
      <c r="R15" s="753" t="s">
        <v>25</v>
      </c>
      <c r="S15" s="754">
        <f t="shared" si="0"/>
        <v>100</v>
      </c>
      <c r="T15" s="753" t="s">
        <v>25</v>
      </c>
      <c r="U15" s="754">
        <f t="shared" si="1"/>
        <v>100</v>
      </c>
      <c r="V15" s="753" t="s">
        <v>25</v>
      </c>
      <c r="W15" s="754">
        <f t="shared" si="2"/>
        <v>100</v>
      </c>
      <c r="X15" s="1900"/>
      <c r="Y15" s="3045" t="s">
        <v>2368</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4"/>
      <c r="J16" s="427"/>
      <c r="K16" s="655"/>
      <c r="L16" s="1252"/>
      <c r="M16" s="1243"/>
      <c r="N16" s="1243"/>
      <c r="O16" s="1251"/>
      <c r="P16" s="3046"/>
      <c r="Q16" s="1899"/>
      <c r="R16" s="753"/>
      <c r="S16" s="754"/>
      <c r="T16" s="753"/>
      <c r="U16" s="754"/>
      <c r="V16" s="753"/>
      <c r="W16" s="754"/>
      <c r="X16" s="1900"/>
      <c r="Y16" s="3046"/>
      <c r="Z16" s="1902"/>
      <c r="AA16" s="1903">
        <v>1</v>
      </c>
      <c r="AB16" s="1903">
        <v>1</v>
      </c>
      <c r="AC16" s="1903">
        <v>1</v>
      </c>
    </row>
    <row r="17" spans="1:29" ht="71.25">
      <c r="A17" s="383"/>
      <c r="B17" s="1488"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89"/>
      <c r="C18" s="2469"/>
      <c r="D18" s="430"/>
      <c r="E18" s="1467"/>
      <c r="F18" s="430"/>
      <c r="G18" s="1467"/>
      <c r="H18" s="427"/>
      <c r="I18" s="2407"/>
      <c r="J18" s="427"/>
      <c r="K18" s="655"/>
      <c r="L18" s="1252"/>
      <c r="M18" s="1243"/>
      <c r="N18" s="1243"/>
      <c r="O18" s="1251"/>
      <c r="P18" s="3046"/>
      <c r="Q18" s="1899"/>
      <c r="R18" s="753"/>
      <c r="S18" s="754"/>
      <c r="T18" s="753"/>
      <c r="U18" s="754"/>
      <c r="V18" s="753"/>
      <c r="W18" s="754"/>
      <c r="X18" s="1900"/>
      <c r="Y18" s="3046"/>
      <c r="Z18" s="1902"/>
      <c r="AA18" s="1903">
        <v>1</v>
      </c>
      <c r="AB18" s="1903">
        <v>1</v>
      </c>
      <c r="AC18" s="1903">
        <v>1</v>
      </c>
    </row>
    <row r="19" spans="1:29" ht="71.25">
      <c r="A19" s="383"/>
      <c r="B19" s="1488"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4"/>
      <c r="J20" s="427"/>
      <c r="K20" s="655"/>
      <c r="L20" s="1252"/>
      <c r="M20" s="1243"/>
      <c r="N20" s="1243"/>
      <c r="O20" s="1251"/>
      <c r="P20" s="3046"/>
      <c r="Q20" s="1899"/>
      <c r="R20" s="753"/>
      <c r="S20" s="754"/>
      <c r="T20" s="753"/>
      <c r="U20" s="754"/>
      <c r="V20" s="753"/>
      <c r="W20" s="754"/>
      <c r="X20" s="1900"/>
      <c r="Y20" s="3046"/>
      <c r="Z20" s="1902"/>
      <c r="AA20" s="1903">
        <v>1</v>
      </c>
      <c r="AB20" s="1903">
        <v>1</v>
      </c>
      <c r="AC20" s="1903">
        <v>1</v>
      </c>
    </row>
    <row r="21" spans="1:29" ht="99.75">
      <c r="A21" s="383"/>
      <c r="B21" s="1488" t="s">
        <v>2510</v>
      </c>
      <c r="C21" s="2468" t="str">
        <f>估价对象房地状况!C18</f>
        <v>估价对象周边有通28路、专47路等公交线路，距地铁亦庄线（经海路站）约2.6公里，综合评价交通便捷度一般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4"/>
      <c r="J22" s="427"/>
      <c r="K22" s="655"/>
      <c r="L22" s="1252"/>
      <c r="M22" s="1243"/>
      <c r="N22" s="1243"/>
      <c r="O22" s="1251"/>
      <c r="P22" s="3046"/>
      <c r="Q22" s="1899"/>
      <c r="R22" s="753"/>
      <c r="S22" s="754"/>
      <c r="T22" s="753"/>
      <c r="U22" s="754"/>
      <c r="V22" s="753"/>
      <c r="W22" s="754"/>
      <c r="X22" s="1900"/>
      <c r="Y22" s="3046"/>
      <c r="Z22" s="1902"/>
      <c r="AA22" s="1903">
        <v>1</v>
      </c>
      <c r="AB22" s="1903">
        <v>1</v>
      </c>
      <c r="AC22" s="1903">
        <v>1</v>
      </c>
    </row>
    <row r="23" spans="1:29" ht="15">
      <c r="A23" s="383"/>
      <c r="B23" s="1491"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2"/>
      <c r="C24" s="618"/>
      <c r="D24" s="427"/>
      <c r="E24" s="428"/>
      <c r="F24" s="427"/>
      <c r="G24" s="2404"/>
      <c r="H24" s="427"/>
      <c r="I24" s="2404"/>
      <c r="J24" s="427"/>
      <c r="K24" s="804"/>
      <c r="L24" s="1252"/>
      <c r="M24" s="1243"/>
      <c r="N24" s="1243"/>
      <c r="O24" s="1251"/>
      <c r="P24" s="3046"/>
      <c r="Q24" s="1899"/>
      <c r="R24" s="753"/>
      <c r="S24" s="754"/>
      <c r="T24" s="753"/>
      <c r="U24" s="754"/>
      <c r="V24" s="753"/>
      <c r="W24" s="754"/>
      <c r="X24" s="1900"/>
      <c r="Y24" s="3046"/>
      <c r="Z24" s="1902"/>
      <c r="AA24" s="1903"/>
      <c r="AB24" s="1903"/>
      <c r="AC24" s="1903"/>
    </row>
    <row r="25" spans="1:29" ht="57">
      <c r="A25" s="383"/>
      <c r="B25" s="1490" t="s">
        <v>2551</v>
      </c>
      <c r="C25" s="2485" t="str">
        <f>估价对象房地状况!C20</f>
        <v>区域自然环境：金马公园；人文环境；综合评价环境状况一般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46"/>
      <c r="Q26" s="1899"/>
      <c r="R26" s="753"/>
      <c r="S26" s="754"/>
      <c r="T26" s="753"/>
      <c r="U26" s="754"/>
      <c r="V26" s="753"/>
      <c r="W26" s="754"/>
      <c r="X26" s="1900"/>
      <c r="Y26" s="3046"/>
      <c r="Z26" s="1902"/>
      <c r="AA26" s="1903">
        <v>1</v>
      </c>
      <c r="AB26" s="1903">
        <v>1</v>
      </c>
      <c r="AC26" s="1903">
        <v>1</v>
      </c>
    </row>
    <row r="27" spans="1:29" ht="42.75">
      <c r="A27" s="383"/>
      <c r="B27" s="1490" t="s">
        <v>2453</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89"/>
      <c r="C28" s="2487"/>
      <c r="D28" s="427"/>
      <c r="E28" s="2487"/>
      <c r="F28" s="427"/>
      <c r="G28" s="2487"/>
      <c r="H28" s="427"/>
      <c r="I28" s="2487"/>
      <c r="J28" s="427"/>
      <c r="K28" s="655"/>
      <c r="L28" s="1252"/>
      <c r="M28" s="1243"/>
      <c r="N28" s="1243"/>
      <c r="O28" s="1251"/>
      <c r="P28" s="3046"/>
      <c r="Q28" s="1899"/>
      <c r="R28" s="753"/>
      <c r="S28" s="754"/>
      <c r="T28" s="753"/>
      <c r="U28" s="754"/>
      <c r="V28" s="753"/>
      <c r="W28" s="754"/>
      <c r="X28" s="1900"/>
      <c r="Y28" s="3046"/>
      <c r="Z28" s="23"/>
      <c r="AA28" s="1903">
        <v>1</v>
      </c>
      <c r="AB28" s="1903">
        <v>1</v>
      </c>
      <c r="AC28" s="1903">
        <v>1</v>
      </c>
    </row>
    <row r="29" spans="1:29" s="35" customFormat="1" ht="15">
      <c r="A29" s="633"/>
      <c r="B29" s="1490" t="s">
        <v>2454</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89"/>
      <c r="C30" s="2487"/>
      <c r="D30" s="427"/>
      <c r="E30" s="2487"/>
      <c r="F30" s="427"/>
      <c r="G30" s="2487"/>
      <c r="H30" s="427"/>
      <c r="I30" s="2487"/>
      <c r="J30" s="427"/>
      <c r="K30" s="655"/>
      <c r="L30" s="1244"/>
      <c r="M30" s="1245"/>
      <c r="N30" s="1245"/>
      <c r="O30" s="1246"/>
      <c r="P30" s="3046"/>
      <c r="Q30" s="1887"/>
      <c r="R30" s="749"/>
      <c r="S30" s="750"/>
      <c r="T30" s="749"/>
      <c r="U30" s="750"/>
      <c r="V30" s="749"/>
      <c r="W30" s="750"/>
      <c r="X30" s="751"/>
      <c r="Y30" s="3046"/>
      <c r="Z30" s="23"/>
      <c r="AA30" s="1903">
        <v>1</v>
      </c>
      <c r="AB30" s="1903">
        <v>1</v>
      </c>
      <c r="AC30" s="1903">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46"/>
      <c r="Q33" s="1899"/>
      <c r="R33" s="753"/>
      <c r="S33" s="754"/>
      <c r="T33" s="753"/>
      <c r="U33" s="754"/>
      <c r="V33" s="753"/>
      <c r="W33" s="754"/>
      <c r="X33" s="1900"/>
      <c r="Y33" s="3046"/>
      <c r="Z33" s="1902"/>
      <c r="AA33" s="1903">
        <v>1</v>
      </c>
      <c r="AB33" s="1903">
        <v>1</v>
      </c>
      <c r="AC33" s="1903">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2374</v>
      </c>
      <c r="Q36" s="1899">
        <f t="shared" si="8"/>
        <v>111</v>
      </c>
      <c r="R36" s="753" t="s">
        <v>25</v>
      </c>
      <c r="S36" s="754">
        <f t="shared" si="10"/>
        <v>100</v>
      </c>
      <c r="T36" s="753" t="s">
        <v>25</v>
      </c>
      <c r="U36" s="754">
        <f t="shared" si="11"/>
        <v>100</v>
      </c>
      <c r="V36" s="753" t="s">
        <v>25</v>
      </c>
      <c r="W36" s="754">
        <f t="shared" si="12"/>
        <v>100</v>
      </c>
      <c r="X36" s="1900"/>
      <c r="Y36" s="3050" t="s">
        <v>2374</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2372</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0" t="s">
        <v>2374</v>
      </c>
      <c r="Q42" s="1899" t="str">
        <f t="shared" si="14"/>
        <v>工程地质条件</v>
      </c>
      <c r="R42" s="753" t="s">
        <v>25</v>
      </c>
      <c r="S42" s="754">
        <f t="shared" si="10"/>
        <v>100</v>
      </c>
      <c r="T42" s="753" t="s">
        <v>25</v>
      </c>
      <c r="U42" s="754">
        <f t="shared" si="11"/>
        <v>100</v>
      </c>
      <c r="V42" s="753" t="s">
        <v>25</v>
      </c>
      <c r="W42" s="754">
        <f t="shared" si="12"/>
        <v>100</v>
      </c>
      <c r="X42" s="1900"/>
      <c r="Y42" s="3050" t="s">
        <v>2374</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2521</v>
      </c>
      <c r="B46" s="2492" t="s">
        <v>2558</v>
      </c>
      <c r="C46" s="665" t="s">
        <v>1</v>
      </c>
      <c r="D46" s="462"/>
      <c r="E46" s="463"/>
      <c r="F46" s="464"/>
      <c r="G46" s="465"/>
      <c r="H46" s="466"/>
      <c r="I46" s="463"/>
      <c r="J46" s="466"/>
      <c r="K46" s="762"/>
      <c r="L46" s="1255"/>
      <c r="M46" s="1256"/>
      <c r="N46" s="1243"/>
      <c r="O46" s="1256"/>
      <c r="P46" s="3056" t="str">
        <f>A46</f>
        <v>成交单价</v>
      </c>
      <c r="Q46" s="3056"/>
      <c r="R46" s="3036">
        <f>E46</f>
        <v>0</v>
      </c>
      <c r="S46" s="3036"/>
      <c r="T46" s="3036">
        <f>G46</f>
        <v>0</v>
      </c>
      <c r="U46" s="3036"/>
      <c r="V46" s="3036">
        <f>I46</f>
        <v>0</v>
      </c>
      <c r="W46" s="3036"/>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5"/>
      <c r="M47" s="1256"/>
      <c r="N47" s="1256"/>
      <c r="O47" s="1256"/>
      <c r="P47" s="3056" t="str">
        <f>A47</f>
        <v>比较价值（元/平方米）</v>
      </c>
      <c r="Q47" s="3056"/>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5"/>
      <c r="M48" s="1256"/>
      <c r="N48" s="1256"/>
      <c r="O48" s="1256"/>
      <c r="P48" s="3062" t="str">
        <f>A48</f>
        <v>估价对象XX用房的比较价值（楼面单价，元/平方米）</v>
      </c>
      <c r="Q48" s="3063"/>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2559</v>
      </c>
      <c r="B55" s="668" t="s">
        <v>2560</v>
      </c>
      <c r="C55" s="2493" t="s">
        <v>2561</v>
      </c>
      <c r="D55" s="2494" t="s">
        <v>2562</v>
      </c>
      <c r="E55" s="669" t="s">
        <v>2563</v>
      </c>
      <c r="F55" s="670" t="s">
        <v>2564</v>
      </c>
      <c r="G55" s="62" t="s">
        <v>2565</v>
      </c>
      <c r="H55" s="62">
        <f>项目基本情况!G8</f>
        <v>0</v>
      </c>
      <c r="I55" s="2495" t="s">
        <v>2566</v>
      </c>
      <c r="J55" s="739"/>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2568</v>
      </c>
      <c r="B57" s="178" t="e">
        <f>ROUND($C$48*C57*D57,0)</f>
        <v>#DIV/0!</v>
      </c>
      <c r="C57" s="117">
        <f>IF($C$55="北京市系数",G57,H57)</f>
        <v>0.6</v>
      </c>
      <c r="D57" s="1291">
        <v>0.25</v>
      </c>
      <c r="E57" s="677">
        <v>0</v>
      </c>
      <c r="F57" s="674" t="e">
        <f t="shared" si="15"/>
        <v>#DIV/0!</v>
      </c>
      <c r="G57" s="972">
        <f>SUMIF(修正!$A$45:$A$56,项目基本情况!$F$9,修正!B45:B56)</f>
        <v>0.6</v>
      </c>
      <c r="H57" s="973"/>
      <c r="I57" s="1256"/>
      <c r="J57" s="1261"/>
      <c r="K57" s="1257"/>
      <c r="L57" s="1257"/>
      <c r="M57" s="1256"/>
      <c r="N57" s="1256"/>
      <c r="O57" s="971"/>
    </row>
    <row r="58" spans="1:15" s="675" customFormat="1">
      <c r="A58" s="676" t="s">
        <v>2569</v>
      </c>
      <c r="B58" s="178" t="e">
        <f t="shared" ref="B58:B65" si="16">ROUND($C$48*C58*D58,0)</f>
        <v>#DIV/0!</v>
      </c>
      <c r="C58" s="117">
        <f t="shared" ref="C58:C65" si="17">IF($C$55="北京市系数",G58,H58)</f>
        <v>0.3</v>
      </c>
      <c r="D58" s="1291">
        <v>0.25</v>
      </c>
      <c r="E58" s="677">
        <v>0</v>
      </c>
      <c r="F58" s="674" t="e">
        <f t="shared" si="15"/>
        <v>#DIV/0!</v>
      </c>
      <c r="G58" s="972">
        <f>SUMIF(修正!$A$45:$A$56,项目基本情况!$F$9,修正!C45:C56)</f>
        <v>0.3</v>
      </c>
      <c r="H58" s="973"/>
      <c r="I58" s="1258"/>
      <c r="J58" s="1258"/>
      <c r="K58" s="1262"/>
      <c r="L58" s="1263"/>
      <c r="M58" s="1258"/>
      <c r="N58" s="1258"/>
      <c r="O58" s="971"/>
    </row>
    <row r="59" spans="1:15" s="675" customFormat="1">
      <c r="A59" s="676" t="s">
        <v>2570</v>
      </c>
      <c r="B59" s="178" t="e">
        <f t="shared" si="16"/>
        <v>#DIV/0!</v>
      </c>
      <c r="C59" s="117">
        <f t="shared" si="17"/>
        <v>0.2</v>
      </c>
      <c r="D59" s="1291">
        <v>0.25</v>
      </c>
      <c r="E59" s="677">
        <v>0</v>
      </c>
      <c r="F59" s="674" t="e">
        <f t="shared" si="15"/>
        <v>#DIV/0!</v>
      </c>
      <c r="G59" s="972">
        <f>SUMIF(修正!$A$45:$A$56,项目基本情况!$F$9,修正!D45:D56)</f>
        <v>0.2</v>
      </c>
      <c r="H59" s="973"/>
      <c r="I59" s="1256"/>
      <c r="J59" s="1261"/>
      <c r="K59" s="1257"/>
      <c r="L59" s="1257"/>
      <c r="M59" s="1256"/>
      <c r="N59" s="1256"/>
      <c r="O59" s="971"/>
    </row>
    <row r="60" spans="1:15" s="675" customFormat="1">
      <c r="A60" s="676" t="s">
        <v>2571</v>
      </c>
      <c r="B60" s="178" t="e">
        <f t="shared" si="16"/>
        <v>#DIV/0!</v>
      </c>
      <c r="C60" s="117">
        <f t="shared" si="17"/>
        <v>0.2</v>
      </c>
      <c r="D60" s="1291">
        <v>0.25</v>
      </c>
      <c r="E60" s="677">
        <v>0</v>
      </c>
      <c r="F60" s="674" t="e">
        <f t="shared" si="15"/>
        <v>#DIV/0!</v>
      </c>
      <c r="G60" s="972">
        <f>SUMIF(修正!$A$45:$A$56,项目基本情况!$F$9,修正!E45:E56)</f>
        <v>0.2</v>
      </c>
      <c r="H60" s="973"/>
      <c r="I60" s="1258"/>
      <c r="J60" s="1258"/>
      <c r="K60" s="1262"/>
      <c r="L60" s="1263"/>
      <c r="M60" s="1258"/>
      <c r="N60" s="1258"/>
      <c r="O60" s="971"/>
    </row>
    <row r="61" spans="1:15" s="675" customFormat="1">
      <c r="A61" s="676" t="s">
        <v>2572</v>
      </c>
      <c r="B61" s="178" t="e">
        <f t="shared" si="16"/>
        <v>#DIV/0!</v>
      </c>
      <c r="C61" s="117">
        <f t="shared" si="17"/>
        <v>0.2</v>
      </c>
      <c r="D61" s="1291">
        <v>0.25</v>
      </c>
      <c r="E61" s="677">
        <v>0</v>
      </c>
      <c r="F61" s="674" t="e">
        <f t="shared" si="15"/>
        <v>#DIV/0!</v>
      </c>
      <c r="G61" s="972">
        <f>SUMIF(修正!A45:A56,项目基本情况!F9,修正!F45:F56)</f>
        <v>0.2</v>
      </c>
      <c r="H61" s="973"/>
      <c r="I61" s="1256"/>
      <c r="J61" s="1261"/>
      <c r="K61" s="1257"/>
      <c r="L61" s="1257"/>
      <c r="M61" s="1256"/>
      <c r="N61" s="1256"/>
      <c r="O61" s="971"/>
    </row>
    <row r="62" spans="1:15" s="675" customFormat="1">
      <c r="A62" s="676" t="s">
        <v>2573</v>
      </c>
      <c r="B62" s="178" t="e">
        <f t="shared" si="16"/>
        <v>#DIV/0!</v>
      </c>
      <c r="C62" s="117">
        <f t="shared" si="17"/>
        <v>0.2</v>
      </c>
      <c r="D62" s="1291">
        <v>0.25</v>
      </c>
      <c r="E62" s="677">
        <v>0</v>
      </c>
      <c r="F62" s="674" t="e">
        <f t="shared" si="15"/>
        <v>#DIV/0!</v>
      </c>
      <c r="G62" s="972">
        <f>SUMIF(修正!A45:A56,项目基本情况!F9,修正!G45:G56)</f>
        <v>0.2</v>
      </c>
      <c r="H62" s="973"/>
      <c r="I62" s="1258"/>
      <c r="J62" s="1258"/>
      <c r="K62" s="1262"/>
      <c r="L62" s="1263"/>
      <c r="M62" s="1258"/>
      <c r="N62" s="1258"/>
      <c r="O62" s="971"/>
    </row>
    <row r="63" spans="1:15" s="675" customFormat="1">
      <c r="A63" s="676" t="s">
        <v>2574</v>
      </c>
      <c r="B63" s="178" t="e">
        <f t="shared" si="16"/>
        <v>#DIV/0!</v>
      </c>
      <c r="C63" s="117">
        <f>IF($C$55="北京市系数",G63,H63)</f>
        <v>0.15</v>
      </c>
      <c r="D63" s="1291">
        <v>0.25</v>
      </c>
      <c r="E63" s="677">
        <v>0</v>
      </c>
      <c r="F63" s="674" t="e">
        <f t="shared" si="15"/>
        <v>#DIV/0!</v>
      </c>
      <c r="G63" s="972">
        <f>SUMIF(修正!A45:A56,项目基本情况!F9,修正!H45:H56)</f>
        <v>0.15</v>
      </c>
      <c r="H63" s="973"/>
      <c r="I63" s="1256"/>
      <c r="J63" s="1261"/>
      <c r="K63" s="1257"/>
      <c r="L63" s="1257"/>
      <c r="M63" s="1256"/>
      <c r="N63" s="1256"/>
      <c r="O63" s="971"/>
    </row>
    <row r="64" spans="1:15" s="675" customFormat="1">
      <c r="A64" s="676" t="s">
        <v>2575</v>
      </c>
      <c r="B64" s="178" t="e">
        <f t="shared" si="16"/>
        <v>#DIV/0!</v>
      </c>
      <c r="C64" s="117">
        <f t="shared" si="17"/>
        <v>0.15</v>
      </c>
      <c r="D64" s="1291">
        <v>0.25</v>
      </c>
      <c r="E64" s="677">
        <v>0</v>
      </c>
      <c r="F64" s="674" t="e">
        <f t="shared" si="15"/>
        <v>#DIV/0!</v>
      </c>
      <c r="G64" s="972">
        <f>G63</f>
        <v>0.15</v>
      </c>
      <c r="H64" s="973"/>
      <c r="I64" s="1258"/>
      <c r="J64" s="1258"/>
      <c r="K64" s="1262"/>
      <c r="L64" s="1263"/>
      <c r="M64" s="1258"/>
      <c r="N64" s="1258"/>
      <c r="O64" s="971"/>
    </row>
    <row r="65" spans="1:17" s="675" customFormat="1">
      <c r="A65" s="676" t="s">
        <v>2576</v>
      </c>
      <c r="B65" s="178" t="e">
        <f t="shared" si="16"/>
        <v>#DIV/0!</v>
      </c>
      <c r="C65" s="117">
        <f t="shared" si="17"/>
        <v>0.15</v>
      </c>
      <c r="D65" s="1291">
        <v>0.25</v>
      </c>
      <c r="E65" s="677">
        <v>0</v>
      </c>
      <c r="F65" s="674" t="e">
        <f t="shared" si="15"/>
        <v>#DIV/0!</v>
      </c>
      <c r="G65" s="972">
        <f>G63</f>
        <v>0.15</v>
      </c>
      <c r="H65" s="973"/>
      <c r="I65" s="1256"/>
      <c r="J65" s="1261"/>
      <c r="K65" s="1257"/>
      <c r="L65" s="1257"/>
      <c r="M65" s="1256"/>
      <c r="N65" s="1256"/>
      <c r="O65" s="971"/>
    </row>
    <row r="66" spans="1:17" s="675" customFormat="1" ht="13.5" thickBot="1">
      <c r="A66" s="679" t="s">
        <v>2577</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2473</v>
      </c>
      <c r="B69" s="738"/>
      <c r="C69" s="743"/>
      <c r="D69" s="743"/>
      <c r="E69" s="743"/>
      <c r="F69" s="744"/>
      <c r="G69" s="744"/>
      <c r="H69" s="743"/>
      <c r="I69" s="1272"/>
      <c r="J69" s="1272"/>
      <c r="K69" s="1270"/>
      <c r="L69" s="1271"/>
      <c r="M69" s="1272"/>
      <c r="N69" s="1272"/>
      <c r="O69" s="1272"/>
      <c r="P69" s="484"/>
      <c r="Q69" s="485"/>
    </row>
    <row r="70" spans="1:17" s="1674" customFormat="1" ht="15">
      <c r="A70" s="2496" t="s">
        <v>2578</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7" t="s">
        <v>2579</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2362</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2365</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2367</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2372</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2343</v>
      </c>
      <c r="B4" s="381"/>
      <c r="C4" s="3020" t="s">
        <v>2344</v>
      </c>
      <c r="D4" s="3021"/>
      <c r="E4" s="3022" t="s">
        <v>2345</v>
      </c>
      <c r="F4" s="3023"/>
      <c r="G4" s="3020" t="s">
        <v>2346</v>
      </c>
      <c r="H4" s="3021"/>
      <c r="I4" s="3020" t="s">
        <v>2347</v>
      </c>
      <c r="J4" s="3021"/>
      <c r="K4" s="594" t="s">
        <v>2348</v>
      </c>
      <c r="L4" s="1242"/>
      <c r="M4" s="1243"/>
      <c r="N4" s="1243"/>
      <c r="O4" s="1243"/>
      <c r="P4" s="3024" t="s">
        <v>2349</v>
      </c>
      <c r="Q4" s="3025"/>
      <c r="R4" s="3030" t="s">
        <v>2345</v>
      </c>
      <c r="S4" s="3031"/>
      <c r="T4" s="3030" t="s">
        <v>2346</v>
      </c>
      <c r="U4" s="3031"/>
      <c r="V4" s="3036" t="s">
        <v>2347</v>
      </c>
      <c r="W4" s="3036"/>
      <c r="X4" s="1900"/>
      <c r="Y4" s="3030" t="s">
        <v>2349</v>
      </c>
      <c r="Z4" s="3031"/>
      <c r="AA4" s="3017" t="s">
        <v>2345</v>
      </c>
      <c r="AB4" s="3018" t="s">
        <v>2346</v>
      </c>
      <c r="AC4" s="3017" t="s">
        <v>2347</v>
      </c>
    </row>
    <row r="5" spans="1:29" ht="15">
      <c r="A5" s="383"/>
      <c r="B5" s="384"/>
      <c r="C5" s="3039" t="s">
        <v>2350</v>
      </c>
      <c r="D5" s="3040"/>
      <c r="E5" s="3065" t="s">
        <v>2351</v>
      </c>
      <c r="F5" s="3038"/>
      <c r="G5" s="3039" t="s">
        <v>2352</v>
      </c>
      <c r="H5" s="3040"/>
      <c r="I5" s="3039" t="s">
        <v>2353</v>
      </c>
      <c r="J5" s="3040"/>
      <c r="K5" s="594"/>
      <c r="L5" s="1242"/>
      <c r="M5" s="1243"/>
      <c r="N5" s="1243"/>
      <c r="O5" s="1243"/>
      <c r="P5" s="3026"/>
      <c r="Q5" s="3027"/>
      <c r="R5" s="3032"/>
      <c r="S5" s="3033"/>
      <c r="T5" s="3032"/>
      <c r="U5" s="3033"/>
      <c r="V5" s="3036"/>
      <c r="W5" s="3036"/>
      <c r="X5" s="1900"/>
      <c r="Y5" s="3032"/>
      <c r="Z5" s="3033"/>
      <c r="AA5" s="3018"/>
      <c r="AB5" s="3018"/>
      <c r="AC5" s="3018"/>
    </row>
    <row r="6" spans="1:29" ht="15.75" thickBot="1">
      <c r="A6" s="385"/>
      <c r="B6" s="386"/>
      <c r="C6" s="3041" t="s">
        <v>2354</v>
      </c>
      <c r="D6" s="3042"/>
      <c r="E6" s="3043" t="s">
        <v>2354</v>
      </c>
      <c r="F6" s="3044"/>
      <c r="G6" s="3041" t="s">
        <v>2354</v>
      </c>
      <c r="H6" s="3042"/>
      <c r="I6" s="3041" t="s">
        <v>2354</v>
      </c>
      <c r="J6" s="3042"/>
      <c r="K6" s="594" t="s">
        <v>2355</v>
      </c>
      <c r="L6" s="1242"/>
      <c r="M6" s="1243"/>
      <c r="N6" s="1243"/>
      <c r="O6" s="1243"/>
      <c r="P6" s="3028"/>
      <c r="Q6" s="3029"/>
      <c r="R6" s="3032"/>
      <c r="S6" s="3033"/>
      <c r="T6" s="3034"/>
      <c r="U6" s="3035"/>
      <c r="V6" s="3036"/>
      <c r="W6" s="3036"/>
      <c r="X6" s="1900"/>
      <c r="Y6" s="3034"/>
      <c r="Z6" s="3035"/>
      <c r="AA6" s="3019"/>
      <c r="AB6" s="3019"/>
      <c r="AC6" s="3019"/>
    </row>
    <row r="7" spans="1:29" s="35" customFormat="1" ht="15.75" thickBot="1">
      <c r="A7" s="387" t="s">
        <v>2356</v>
      </c>
      <c r="B7" s="388"/>
      <c r="C7" s="389">
        <f>'数据-取费表'!B2</f>
        <v>43073</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52" t="s">
        <v>2357</v>
      </c>
      <c r="Q7" s="3054"/>
      <c r="R7" s="749" t="s">
        <v>25</v>
      </c>
      <c r="S7" s="750">
        <f t="shared" ref="S7:S15" si="0">F7</f>
        <v>0</v>
      </c>
      <c r="T7" s="749" t="s">
        <v>25</v>
      </c>
      <c r="U7" s="750">
        <f t="shared" ref="U7:U15" si="1">H7</f>
        <v>0</v>
      </c>
      <c r="V7" s="749" t="s">
        <v>25</v>
      </c>
      <c r="W7" s="750">
        <f t="shared" ref="W7:W15" si="2">J7</f>
        <v>0</v>
      </c>
      <c r="X7" s="751"/>
      <c r="Y7" s="3052" t="s">
        <v>2357</v>
      </c>
      <c r="Z7" s="3053"/>
      <c r="AA7" s="752" t="e">
        <f>D7/F7</f>
        <v>#DIV/0!</v>
      </c>
      <c r="AB7" s="752" t="e">
        <f>D7/H7</f>
        <v>#DIV/0!</v>
      </c>
      <c r="AC7" s="752" t="e">
        <f>D7/J7</f>
        <v>#DIV/0!</v>
      </c>
    </row>
    <row r="8" spans="1:29" s="35" customFormat="1" ht="15.75" thickBot="1">
      <c r="A8" s="387" t="s">
        <v>2358</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2" t="s">
        <v>2360</v>
      </c>
      <c r="Q8" s="3053"/>
      <c r="R8" s="749" t="s">
        <v>25</v>
      </c>
      <c r="S8" s="750">
        <f t="shared" si="0"/>
        <v>0</v>
      </c>
      <c r="T8" s="749" t="s">
        <v>25</v>
      </c>
      <c r="U8" s="750">
        <f t="shared" si="1"/>
        <v>0</v>
      </c>
      <c r="V8" s="749" t="s">
        <v>25</v>
      </c>
      <c r="W8" s="750">
        <f t="shared" si="2"/>
        <v>0</v>
      </c>
      <c r="X8" s="751"/>
      <c r="Y8" s="3052" t="s">
        <v>2360</v>
      </c>
      <c r="Z8" s="3053"/>
      <c r="AA8" s="752" t="e">
        <f t="shared" ref="AA8:AA40" si="3">D8/F8</f>
        <v>#DIV/0!</v>
      </c>
      <c r="AB8" s="752" t="e">
        <f t="shared" ref="AB8:AB40" si="4">D8/H8</f>
        <v>#DIV/0!</v>
      </c>
      <c r="AC8" s="752" t="e">
        <f t="shared" ref="AC8:AC40" si="5">D8/J8</f>
        <v>#DIV/0!</v>
      </c>
    </row>
    <row r="9" spans="1:29" s="35" customFormat="1">
      <c r="A9" s="395" t="s">
        <v>2361</v>
      </c>
      <c r="B9" s="28" t="s">
        <v>2362</v>
      </c>
      <c r="C9" s="2484" t="s">
        <v>2593</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6" t="s">
        <v>2363</v>
      </c>
      <c r="Q9" s="1887" t="str">
        <f t="shared" ref="Q9:Q15" si="6">B9</f>
        <v>用途</v>
      </c>
      <c r="R9" s="749" t="s">
        <v>25</v>
      </c>
      <c r="S9" s="750">
        <f t="shared" si="0"/>
        <v>100</v>
      </c>
      <c r="T9" s="749" t="s">
        <v>25</v>
      </c>
      <c r="U9" s="750">
        <f t="shared" si="1"/>
        <v>100</v>
      </c>
      <c r="V9" s="749" t="s">
        <v>25</v>
      </c>
      <c r="W9" s="750">
        <f t="shared" si="2"/>
        <v>100</v>
      </c>
      <c r="X9" s="751"/>
      <c r="Y9" s="2868"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56"/>
      <c r="Q10" s="1887" t="str">
        <f t="shared" si="6"/>
        <v>土地使用年限（年）</v>
      </c>
      <c r="R10" s="749" t="s">
        <v>25</v>
      </c>
      <c r="S10" s="750">
        <f t="shared" si="0"/>
        <v>103</v>
      </c>
      <c r="T10" s="749" t="s">
        <v>25</v>
      </c>
      <c r="U10" s="750">
        <f t="shared" si="1"/>
        <v>103</v>
      </c>
      <c r="V10" s="749" t="s">
        <v>25</v>
      </c>
      <c r="W10" s="750">
        <f t="shared" si="2"/>
        <v>103</v>
      </c>
      <c r="X10" s="751"/>
      <c r="Y10" s="2868"/>
      <c r="Z10" s="23" t="str">
        <f t="shared" si="7"/>
        <v>土地使用年限（年）</v>
      </c>
      <c r="AA10" s="752">
        <f t="shared" si="3"/>
        <v>0.970873786407767</v>
      </c>
      <c r="AB10" s="752">
        <f t="shared" si="4"/>
        <v>0.970873786407767</v>
      </c>
      <c r="AC10" s="752">
        <f t="shared" si="5"/>
        <v>0.970873786407767</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2367</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5" t="s">
        <v>2368</v>
      </c>
      <c r="Q15" s="1899" t="str">
        <f t="shared" si="6"/>
        <v>产业集聚程度</v>
      </c>
      <c r="R15" s="753" t="s">
        <v>25</v>
      </c>
      <c r="S15" s="754">
        <f t="shared" si="0"/>
        <v>100</v>
      </c>
      <c r="T15" s="753" t="s">
        <v>25</v>
      </c>
      <c r="U15" s="754">
        <f t="shared" si="1"/>
        <v>100</v>
      </c>
      <c r="V15" s="753" t="s">
        <v>25</v>
      </c>
      <c r="W15" s="754">
        <f t="shared" si="2"/>
        <v>100</v>
      </c>
      <c r="X15" s="1900"/>
      <c r="Y15" s="3045" t="s">
        <v>2368</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46"/>
      <c r="Q16" s="1899"/>
      <c r="R16" s="753"/>
      <c r="S16" s="754"/>
      <c r="T16" s="753"/>
      <c r="U16" s="754"/>
      <c r="V16" s="753"/>
      <c r="W16" s="754"/>
      <c r="X16" s="1900"/>
      <c r="Y16" s="3046"/>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2"/>
      <c r="M18" s="1243"/>
      <c r="N18" s="1243"/>
      <c r="O18" s="1251"/>
      <c r="P18" s="3046"/>
      <c r="Q18" s="1899"/>
      <c r="R18" s="753"/>
      <c r="S18" s="754"/>
      <c r="T18" s="753"/>
      <c r="U18" s="754"/>
      <c r="V18" s="753"/>
      <c r="W18" s="754"/>
      <c r="X18" s="1900"/>
      <c r="Y18" s="3046"/>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46"/>
      <c r="Q20" s="1899"/>
      <c r="R20" s="753"/>
      <c r="S20" s="754"/>
      <c r="T20" s="753"/>
      <c r="U20" s="754"/>
      <c r="V20" s="753"/>
      <c r="W20" s="754"/>
      <c r="X20" s="1900"/>
      <c r="Y20" s="3046"/>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46"/>
      <c r="Q22" s="1899"/>
      <c r="R22" s="753"/>
      <c r="S22" s="754"/>
      <c r="T22" s="753"/>
      <c r="U22" s="754"/>
      <c r="V22" s="753"/>
      <c r="W22" s="754"/>
      <c r="X22" s="1900"/>
      <c r="Y22" s="3046"/>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1"/>
      <c r="F24" s="427"/>
      <c r="G24" s="1471"/>
      <c r="H24" s="427"/>
      <c r="I24" s="426"/>
      <c r="J24" s="427"/>
      <c r="K24" s="655"/>
      <c r="L24" s="1244"/>
      <c r="M24" s="1245"/>
      <c r="N24" s="1245"/>
      <c r="O24" s="1246"/>
      <c r="P24" s="3046"/>
      <c r="Q24" s="1887"/>
      <c r="R24" s="749"/>
      <c r="S24" s="750"/>
      <c r="T24" s="749"/>
      <c r="U24" s="750"/>
      <c r="V24" s="749"/>
      <c r="W24" s="750"/>
      <c r="X24" s="751"/>
      <c r="Y24" s="3046"/>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4"/>
      <c r="M26" s="1245"/>
      <c r="N26" s="1245"/>
      <c r="O26" s="1246"/>
      <c r="P26" s="3046"/>
      <c r="Q26" s="1887"/>
      <c r="R26" s="749"/>
      <c r="S26" s="750"/>
      <c r="T26" s="749"/>
      <c r="U26" s="750"/>
      <c r="V26" s="749"/>
      <c r="W26" s="750"/>
      <c r="X26" s="751"/>
      <c r="Y26" s="3046"/>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46"/>
      <c r="Q29" s="1899"/>
      <c r="R29" s="753"/>
      <c r="S29" s="754"/>
      <c r="T29" s="753"/>
      <c r="U29" s="754"/>
      <c r="V29" s="753"/>
      <c r="W29" s="754"/>
      <c r="X29" s="1900"/>
      <c r="Y29" s="3046"/>
      <c r="Z29" s="1902"/>
      <c r="AA29" s="1903">
        <v>1</v>
      </c>
      <c r="AB29" s="1903">
        <v>1</v>
      </c>
      <c r="AC29" s="1903">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2374</v>
      </c>
      <c r="Q32" s="1899">
        <f t="shared" si="8"/>
        <v>111</v>
      </c>
      <c r="R32" s="753" t="s">
        <v>25</v>
      </c>
      <c r="S32" s="754">
        <f t="shared" si="10"/>
        <v>100</v>
      </c>
      <c r="T32" s="753" t="s">
        <v>25</v>
      </c>
      <c r="U32" s="754">
        <f t="shared" si="11"/>
        <v>100</v>
      </c>
      <c r="V32" s="753" t="s">
        <v>25</v>
      </c>
      <c r="W32" s="754">
        <f t="shared" si="12"/>
        <v>100</v>
      </c>
      <c r="X32" s="1900"/>
      <c r="Y32" s="3050" t="s">
        <v>2374</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2372</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0" t="s">
        <v>2374</v>
      </c>
      <c r="Q37" s="1899" t="str">
        <f t="shared" si="14"/>
        <v>工程地质条件</v>
      </c>
      <c r="R37" s="753" t="s">
        <v>25</v>
      </c>
      <c r="S37" s="754">
        <f t="shared" si="10"/>
        <v>100</v>
      </c>
      <c r="T37" s="753" t="s">
        <v>25</v>
      </c>
      <c r="U37" s="754">
        <f t="shared" si="11"/>
        <v>100</v>
      </c>
      <c r="V37" s="753" t="s">
        <v>25</v>
      </c>
      <c r="W37" s="754">
        <f t="shared" si="12"/>
        <v>100</v>
      </c>
      <c r="X37" s="1900"/>
      <c r="Y37" s="3050" t="s">
        <v>2374</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2521</v>
      </c>
      <c r="B41" s="2492" t="s">
        <v>2596</v>
      </c>
      <c r="C41" s="665" t="s">
        <v>1</v>
      </c>
      <c r="D41" s="462"/>
      <c r="E41" s="463"/>
      <c r="F41" s="464"/>
      <c r="G41" s="465"/>
      <c r="H41" s="466"/>
      <c r="I41" s="463"/>
      <c r="J41" s="466"/>
      <c r="K41" s="762"/>
      <c r="L41" s="1255"/>
      <c r="M41" s="1243"/>
      <c r="N41" s="1243"/>
      <c r="O41" s="1256"/>
      <c r="P41" s="3056" t="str">
        <f>A41</f>
        <v>成交单价</v>
      </c>
      <c r="Q41" s="3056"/>
      <c r="R41" s="3036">
        <f>E41</f>
        <v>0</v>
      </c>
      <c r="S41" s="3036"/>
      <c r="T41" s="3036">
        <f>G41</f>
        <v>0</v>
      </c>
      <c r="U41" s="3036"/>
      <c r="V41" s="3036">
        <f>I41</f>
        <v>0</v>
      </c>
      <c r="W41" s="3036"/>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5"/>
      <c r="M42" s="1243"/>
      <c r="N42" s="1243"/>
      <c r="O42" s="1256"/>
      <c r="P42" s="3056" t="str">
        <f>A42</f>
        <v>比较价值（元/平方米）</v>
      </c>
      <c r="Q42" s="3056"/>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5"/>
      <c r="M43" s="1243"/>
      <c r="N43" s="1243"/>
      <c r="O43" s="1256"/>
      <c r="P43" s="3062" t="str">
        <f>A43</f>
        <v>估价对象XX用房的比较价值（楼面单价，元/平方米）</v>
      </c>
      <c r="Q43" s="3063"/>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3" t="s">
        <v>2561</v>
      </c>
      <c r="D50" s="2494" t="s">
        <v>2562</v>
      </c>
      <c r="E50" s="669" t="s">
        <v>2563</v>
      </c>
      <c r="F50" s="670" t="s">
        <v>2564</v>
      </c>
      <c r="G50" s="1902" t="s">
        <v>2597</v>
      </c>
      <c r="H50" s="1902">
        <f>项目基本情况!G8</f>
        <v>0</v>
      </c>
      <c r="I50" s="1849"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2568</v>
      </c>
      <c r="B52" s="178" t="e">
        <f>ROUND($C$43*C52*D52,0)</f>
        <v>#DIV/0!</v>
      </c>
      <c r="C52" s="117">
        <f>IF($C$50="北京市系数",G52,H52)</f>
        <v>0.6</v>
      </c>
      <c r="D52" s="1291">
        <v>0.25</v>
      </c>
      <c r="E52" s="677">
        <v>0</v>
      </c>
      <c r="F52" s="674" t="e">
        <f t="shared" si="15"/>
        <v>#DIV/0!</v>
      </c>
      <c r="G52" s="972">
        <f>SUMIF(修正!$A$45:$A$56,项目基本情况!$F$9,修正!B45:B56)</f>
        <v>0.6</v>
      </c>
      <c r="H52" s="973"/>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0.3</v>
      </c>
      <c r="D53" s="1291">
        <v>0.25</v>
      </c>
      <c r="E53" s="677">
        <v>0</v>
      </c>
      <c r="F53" s="674" t="e">
        <f t="shared" si="15"/>
        <v>#DIV/0!</v>
      </c>
      <c r="G53" s="972">
        <f>SUMIF(修正!$A$45:$A$56,项目基本情况!$F$9,修正!C45:C56)</f>
        <v>0.3</v>
      </c>
      <c r="H53" s="973"/>
      <c r="I53" s="1258"/>
      <c r="J53" s="1261"/>
      <c r="K53" s="1257"/>
      <c r="L53" s="1257"/>
      <c r="M53" s="1256"/>
      <c r="N53" s="1256"/>
      <c r="O53" s="1256"/>
    </row>
    <row r="54" spans="1:17" s="675" customFormat="1">
      <c r="A54" s="676" t="s">
        <v>2570</v>
      </c>
      <c r="B54" s="178" t="e">
        <f t="shared" si="16"/>
        <v>#DIV/0!</v>
      </c>
      <c r="C54" s="117">
        <f t="shared" si="17"/>
        <v>0.2</v>
      </c>
      <c r="D54" s="1291">
        <v>0.25</v>
      </c>
      <c r="E54" s="677">
        <v>0</v>
      </c>
      <c r="F54" s="674" t="e">
        <f t="shared" si="15"/>
        <v>#DIV/0!</v>
      </c>
      <c r="G54" s="972">
        <f>SUMIF(修正!$A$45:$A$56,项目基本情况!$F$9,修正!D45:D56)</f>
        <v>0.2</v>
      </c>
      <c r="H54" s="973"/>
      <c r="I54" s="1256"/>
      <c r="J54" s="1261"/>
      <c r="K54" s="1257"/>
      <c r="L54" s="1257"/>
      <c r="M54" s="1256"/>
      <c r="N54" s="1256"/>
      <c r="O54" s="1256"/>
    </row>
    <row r="55" spans="1:17" s="675" customFormat="1">
      <c r="A55" s="676" t="s">
        <v>2571</v>
      </c>
      <c r="B55" s="178" t="e">
        <f t="shared" si="16"/>
        <v>#DIV/0!</v>
      </c>
      <c r="C55" s="117">
        <f t="shared" si="17"/>
        <v>0.2</v>
      </c>
      <c r="D55" s="1291">
        <v>0.25</v>
      </c>
      <c r="E55" s="677">
        <v>0</v>
      </c>
      <c r="F55" s="674" t="e">
        <f t="shared" si="15"/>
        <v>#DIV/0!</v>
      </c>
      <c r="G55" s="972">
        <f>SUMIF(修正!$A$45:$A$56,项目基本情况!$F$9,修正!E45:E56)</f>
        <v>0.2</v>
      </c>
      <c r="H55" s="973"/>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2473</v>
      </c>
      <c r="B64" s="738"/>
      <c r="C64" s="743"/>
      <c r="D64" s="743"/>
      <c r="E64" s="743"/>
      <c r="F64" s="744"/>
      <c r="G64" s="744"/>
      <c r="H64" s="743"/>
      <c r="I64" s="1272"/>
      <c r="J64" s="1272"/>
      <c r="K64" s="1270"/>
      <c r="L64" s="1271"/>
      <c r="M64" s="1272"/>
      <c r="N64" s="1272"/>
      <c r="O64" s="1272"/>
      <c r="P64" s="484"/>
      <c r="Q64" s="485"/>
    </row>
    <row r="65" spans="1:17" s="489" customFormat="1" ht="15">
      <c r="A65" s="2496" t="s">
        <v>2578</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2"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2362</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2365</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2367</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2372</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湖南省隆回县人民法院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估价对象为北京市房地产，为所有。根据《不动产权证书》[]，估价对象建筑面积为77.75平方米，（分摊）出让国有建设用地使用权面积为平方米。估价对象用途为。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2017年12月4日（评估专业人员实地查勘之日）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8">
        <f>SUMPRODUCT((区片价!B5:B9=I2)*(区片价!C3:F3=E2)*(区片价!C5:F9))</f>
        <v>0</v>
      </c>
      <c r="N1" s="1121">
        <f>SUMPRODUCT((因素修正幅度!B5:B9=I2)*(因素修正幅度!C3:F3=E2)*(因素修正幅度!C5:F9))</f>
        <v>0</v>
      </c>
      <c r="O1" s="1461"/>
      <c r="P1" s="1461"/>
      <c r="Q1" s="1461"/>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8" t="s">
        <v>2608</v>
      </c>
      <c r="D2" s="2509" t="s">
        <v>2609</v>
      </c>
      <c r="E2" s="2510"/>
      <c r="F2" s="2509" t="s">
        <v>2610</v>
      </c>
      <c r="G2" s="2511" t="str">
        <f>项目基本情况!F9</f>
        <v>八级</v>
      </c>
      <c r="H2" s="2512" t="s">
        <v>2611</v>
      </c>
      <c r="I2" s="2511" t="str">
        <f>项目基本情况!F10</f>
        <v>Ⅷ-亦1</v>
      </c>
      <c r="J2" s="2513"/>
      <c r="L2" s="2514" t="s">
        <v>2612</v>
      </c>
      <c r="M2" s="1119">
        <f>SUMPRODUCT((区片价!B10:B28=I2)*(区片价!C3:F3=E2)*(区片价!C10:F28))</f>
        <v>0</v>
      </c>
      <c r="N2" s="1122">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8" t="s">
        <v>2614</v>
      </c>
      <c r="D3" s="2509" t="s">
        <v>2615</v>
      </c>
      <c r="E3" s="2515"/>
      <c r="F3" s="2516" t="s">
        <v>2616</v>
      </c>
      <c r="G3" s="941">
        <f>项目基本情况!C15</f>
        <v>0</v>
      </c>
      <c r="H3" s="115" t="s">
        <v>2617</v>
      </c>
      <c r="I3" s="974">
        <v>7</v>
      </c>
      <c r="J3" s="2513" t="s">
        <v>2618</v>
      </c>
      <c r="L3" s="2514" t="s">
        <v>2619</v>
      </c>
      <c r="M3" s="1119">
        <f>SUMPRODUCT((区片价!B29:B48=I2)*(区片价!C3:F3=E2)*(区片价!C29:F48))</f>
        <v>0</v>
      </c>
      <c r="N3" s="1122">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2620</v>
      </c>
      <c r="M4" s="1119">
        <f>SUMPRODUCT((区片价!B49:B75=I2)*(区片价!C3:F3=E2)*(区片价!C49:F75))</f>
        <v>0</v>
      </c>
      <c r="N4" s="1122">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2621</v>
      </c>
      <c r="B5" s="2518" t="s">
        <v>2622</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2623</v>
      </c>
      <c r="M5" s="1119">
        <f>SUMPRODUCT((区片价!B76:B109=I2)*(区片价!C3:F3=E2)*(区片价!C76:F109))</f>
        <v>0</v>
      </c>
      <c r="N5" s="1122">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2624</v>
      </c>
      <c r="C6" s="943">
        <f>SUMIF(L1:L12,G2,M1:M12)</f>
        <v>0</v>
      </c>
      <c r="D6" s="2529" t="s">
        <v>2625</v>
      </c>
      <c r="E6" s="2530"/>
      <c r="F6" s="2530"/>
      <c r="G6" s="2531"/>
      <c r="H6" s="2531"/>
      <c r="I6" s="2531"/>
      <c r="J6" s="2532"/>
      <c r="K6" s="2533"/>
      <c r="L6" s="2514" t="s">
        <v>2626</v>
      </c>
      <c r="M6" s="1119">
        <f>SUMPRODUCT((区片价!B110:B157=I2)*(区片价!C3:F3=E2)*(区片价!C110:F157))</f>
        <v>0</v>
      </c>
      <c r="N6" s="1122">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6" t="str">
        <f>IF(E2="商业",IF(C8="不临58条商业街","",2),"")</f>
        <v/>
      </c>
      <c r="B7" s="2534" t="s">
        <v>2627</v>
      </c>
      <c r="C7" s="944" t="e">
        <f>IF(C8="不临58条商业街",1,ROUND(1+(1.6*E8+1.2*E9+0.8*E10+0.4*E11)*C9,4))</f>
        <v>#DIV/0!</v>
      </c>
      <c r="D7" s="2535" t="s">
        <v>2628</v>
      </c>
      <c r="E7" s="975"/>
      <c r="F7" s="2536"/>
      <c r="G7" s="2537"/>
      <c r="H7" s="2537"/>
      <c r="I7" s="2537"/>
      <c r="J7" s="2538"/>
      <c r="K7" s="2533"/>
      <c r="L7" s="2514" t="s">
        <v>2629</v>
      </c>
      <c r="M7" s="1119">
        <f>SUMPRODUCT((区片价!B158:B205=I2)*(区片价!C3:F3=E2)*(区片价!C158:F205))</f>
        <v>0</v>
      </c>
      <c r="N7" s="1122">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八级</v>
      </c>
      <c r="Y7" s="1711" t="s">
        <v>2631</v>
      </c>
      <c r="Z7" s="1712">
        <f>G3</f>
        <v>0</v>
      </c>
      <c r="AA7" s="1713"/>
      <c r="AB7" s="1713"/>
      <c r="AC7" s="1714"/>
      <c r="AD7" s="1715"/>
      <c r="AE7" s="1715"/>
      <c r="AF7" s="1715"/>
      <c r="AG7" s="1715"/>
      <c r="AH7" s="1715"/>
      <c r="AI7" s="1715"/>
      <c r="AJ7" s="1716"/>
    </row>
    <row r="8" spans="1:36" ht="15">
      <c r="A8" s="3077"/>
      <c r="B8" s="115" t="s">
        <v>2632</v>
      </c>
      <c r="C8" s="2539"/>
      <c r="D8" s="945" t="s">
        <v>89</v>
      </c>
      <c r="E8" s="946" t="e">
        <f>ROUND(C11/E7,4)</f>
        <v>#DIV/0!</v>
      </c>
      <c r="F8" s="2540" t="s">
        <v>2633</v>
      </c>
      <c r="G8" s="2541"/>
      <c r="H8" s="2541"/>
      <c r="I8" s="2541"/>
      <c r="J8" s="2542"/>
      <c r="L8" s="2514" t="s">
        <v>2634</v>
      </c>
      <c r="M8" s="1119">
        <f>SUMPRODUCT((区片价!B206:B244=I2)*(区片价!C3:F3=E2)*(区片价!C206:F244))</f>
        <v>0</v>
      </c>
      <c r="N8" s="1122">
        <f>SUMPRODUCT((因素修正幅度!B206:B244=I2)*(因素修正幅度!C3:F3=E2)*(因素修正幅度!C206:F244))</f>
        <v>0</v>
      </c>
      <c r="O8" s="1461"/>
      <c r="P8" s="1461"/>
      <c r="Q8" s="1461"/>
      <c r="R8" s="1709">
        <v>7</v>
      </c>
      <c r="S8" s="1710"/>
      <c r="T8" s="1709" t="e">
        <f t="shared" si="0"/>
        <v>#DIV/0!</v>
      </c>
      <c r="U8" s="1710"/>
      <c r="V8" s="1709" t="e">
        <f t="shared" si="1"/>
        <v>#DIV/0!</v>
      </c>
      <c r="W8" s="3089" t="s">
        <v>2635</v>
      </c>
      <c r="X8" s="3090"/>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77"/>
      <c r="B9" s="115" t="s">
        <v>2648</v>
      </c>
      <c r="C9" s="947">
        <f>SUMIF(修正!C59:C119,C8,修正!E59:E119)</f>
        <v>0</v>
      </c>
      <c r="D9" s="117" t="s">
        <v>90</v>
      </c>
      <c r="E9" s="117" t="e">
        <f>ROUND(C11/E7,4)</f>
        <v>#DIV/0!</v>
      </c>
      <c r="F9" s="2540" t="s">
        <v>2649</v>
      </c>
      <c r="G9" s="2541"/>
      <c r="H9" s="2541"/>
      <c r="I9" s="2541"/>
      <c r="J9" s="2542"/>
      <c r="L9" s="2514" t="s">
        <v>2650</v>
      </c>
      <c r="M9" s="1119">
        <f>SUMPRODUCT((区片价!B245:B289=I2)*(区片价!C3:F3=E2)*(区片价!C245:F289))</f>
        <v>0</v>
      </c>
      <c r="N9" s="1122">
        <f>SUMPRODUCT((因素修正幅度!B245:B289=I2)*(因素修正幅度!C3:F3=E2)*(因素修正幅度!C245:F289))</f>
        <v>0</v>
      </c>
      <c r="O9" s="1461"/>
      <c r="P9" s="1461"/>
      <c r="Q9" s="1461"/>
      <c r="R9" s="1709">
        <v>8</v>
      </c>
      <c r="S9" s="1710"/>
      <c r="T9" s="1709" t="e">
        <f t="shared" si="0"/>
        <v>#DIV/0!</v>
      </c>
      <c r="U9" s="1710"/>
      <c r="V9" s="1709" t="e">
        <f t="shared" si="1"/>
        <v>#DIV/0!</v>
      </c>
      <c r="W9" s="3091"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2653</v>
      </c>
      <c r="C10" s="117">
        <f>SUMIF(修正!C59:C119,C8,修正!F59:F119)</f>
        <v>0</v>
      </c>
      <c r="D10" s="117" t="s">
        <v>91</v>
      </c>
      <c r="E10" s="117" t="e">
        <f>ROUND(C11/E7,4)</f>
        <v>#DIV/0!</v>
      </c>
      <c r="F10" s="2540" t="s">
        <v>2654</v>
      </c>
      <c r="G10" s="2541"/>
      <c r="H10" s="2541"/>
      <c r="I10" s="2541"/>
      <c r="J10" s="2542"/>
      <c r="L10" s="2514" t="s">
        <v>2655</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3" t="s">
        <v>2656</v>
      </c>
      <c r="C11" s="948">
        <f>C10/4</f>
        <v>0</v>
      </c>
      <c r="D11" s="948" t="s">
        <v>92</v>
      </c>
      <c r="E11" s="948" t="e">
        <f>ROUND(C11/E7,4)</f>
        <v>#DIV/0!</v>
      </c>
      <c r="F11" s="2544" t="s">
        <v>2657</v>
      </c>
      <c r="G11" s="2545"/>
      <c r="H11" s="2545"/>
      <c r="I11" s="2545"/>
      <c r="J11" s="2546"/>
      <c r="L11" s="2514" t="s">
        <v>2658</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t="e">
        <f t="shared" si="0"/>
        <v>#DIV/0!</v>
      </c>
      <c r="U11" s="1710"/>
      <c r="V11" s="1709" t="e">
        <f t="shared" si="1"/>
        <v>#DIV/0!</v>
      </c>
      <c r="W11" s="3091"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7" t="s">
        <v>2661</v>
      </c>
      <c r="C12" s="944">
        <f>ROUND(C15*D15*E15*F15*G15*H15*I15*J15,4)</f>
        <v>1.32</v>
      </c>
      <c r="D12" s="2548" t="s">
        <v>2662</v>
      </c>
      <c r="E12" s="2549"/>
      <c r="F12" s="2549"/>
      <c r="G12" s="2550"/>
      <c r="H12" s="2550"/>
      <c r="I12" s="2550"/>
      <c r="J12" s="2551"/>
      <c r="L12" s="2552" t="s">
        <v>2663</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t="e">
        <f t="shared" si="0"/>
        <v>#DIV/0!</v>
      </c>
      <c r="U12" s="1710"/>
      <c r="V12" s="1709" t="e">
        <f t="shared" si="1"/>
        <v>#DIV/0!</v>
      </c>
      <c r="W12" s="3091"/>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3" t="s">
        <v>2665</v>
      </c>
      <c r="C13" s="2554" t="s">
        <v>2666</v>
      </c>
      <c r="D13" s="2555" t="s">
        <v>2667</v>
      </c>
      <c r="E13" s="2555" t="s">
        <v>2668</v>
      </c>
      <c r="F13" s="20" t="s">
        <v>2669</v>
      </c>
      <c r="G13" s="2556" t="s">
        <v>2670</v>
      </c>
      <c r="H13" s="2556" t="s">
        <v>2670</v>
      </c>
      <c r="I13" s="2556" t="s">
        <v>2670</v>
      </c>
      <c r="J13" s="2557" t="s">
        <v>2670</v>
      </c>
      <c r="L13" s="1461"/>
      <c r="M13" s="1461"/>
      <c r="N13" s="1461"/>
      <c r="O13" s="1461"/>
      <c r="P13" s="1461"/>
      <c r="Q13" s="1461"/>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8"/>
      <c r="C14" s="2559" t="s">
        <v>2671</v>
      </c>
      <c r="D14" s="2560" t="s">
        <v>2672</v>
      </c>
      <c r="E14" s="2560" t="s">
        <v>2672</v>
      </c>
      <c r="F14" s="2561" t="s">
        <v>2673</v>
      </c>
      <c r="G14" s="2562" t="s">
        <v>2674</v>
      </c>
      <c r="H14" s="2563"/>
      <c r="I14" s="2564"/>
      <c r="J14" s="2565"/>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6" t="s">
        <v>2675</v>
      </c>
      <c r="C15" s="150">
        <f>IF(C14="有",1.1,1)</f>
        <v>1.1000000000000001</v>
      </c>
      <c r="D15" s="150">
        <f>IF(D14="有",1.1,1)</f>
        <v>1</v>
      </c>
      <c r="E15" s="150">
        <f>IF(E14="有",1.1,1)</f>
        <v>1</v>
      </c>
      <c r="F15" s="150">
        <f>IF(F14="500米范围内",1.2,IF(F14="500-1000米",1.1,1))</f>
        <v>1.2</v>
      </c>
      <c r="G15" s="976">
        <v>1</v>
      </c>
      <c r="H15" s="976">
        <v>1</v>
      </c>
      <c r="I15" s="976">
        <v>1</v>
      </c>
      <c r="J15" s="977">
        <v>1</v>
      </c>
      <c r="L15" s="2567" t="s">
        <v>2676</v>
      </c>
      <c r="M15" s="945" t="s">
        <v>2677</v>
      </c>
      <c r="N15" s="945" t="s">
        <v>2678</v>
      </c>
      <c r="O15" s="945" t="s">
        <v>2679</v>
      </c>
      <c r="P15" s="2568" t="s">
        <v>2680</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4" t="s">
        <v>2681</v>
      </c>
      <c r="C16" s="1885" t="e">
        <f>ROUND(SUM(G17:J17)/C17,0)</f>
        <v>#DIV/0!</v>
      </c>
      <c r="D16" s="2569" t="s">
        <v>2682</v>
      </c>
      <c r="E16" s="2570"/>
      <c r="F16" s="2571"/>
      <c r="G16" s="2572"/>
      <c r="H16" s="2572"/>
      <c r="I16" s="2572"/>
      <c r="J16" s="2573"/>
      <c r="L16" s="1459" t="s">
        <v>2683</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4" t="s">
        <v>2684</v>
      </c>
      <c r="C17" s="949">
        <f>SUMPRODUCT((修正!A2:A5=E2)*(修正!B1:M1=G2)*(修正!B2:M5))</f>
        <v>0</v>
      </c>
      <c r="D17" s="2575" t="s">
        <v>2685</v>
      </c>
      <c r="E17" s="948" t="str">
        <f>IF(OR(G2="八级",G2="九级",G2="十级",G2="十一级",G2="十二级"),"五通一平","七通一平")</f>
        <v>五通一平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2688</v>
      </c>
      <c r="B18" s="2577" t="s">
        <v>2689</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2690</v>
      </c>
      <c r="B19" s="2577" t="s">
        <v>2691</v>
      </c>
      <c r="C19" s="952" t="e">
        <f>ROUND(IF(H19="按公示增长率计算",SUMPRODUCT((地价!A3:A20=YEAR(G19)&amp;"-"&amp;ROUNDUP(MONTH(G19)/3,0))*(地价!X2:AB2=E2)*(地价!X3:AB20)),IF(H19="地价指数",M20/M19,(1+I19)^O19)),4)</f>
        <v>#DIV/0!</v>
      </c>
      <c r="D19" s="2585" t="s">
        <v>2692</v>
      </c>
      <c r="E19" s="953">
        <v>41640</v>
      </c>
      <c r="F19" s="2585" t="s">
        <v>2693</v>
      </c>
      <c r="G19" s="954">
        <f>'数据-取费表'!B2</f>
        <v>43073</v>
      </c>
      <c r="H19" s="2586" t="s">
        <v>2694</v>
      </c>
      <c r="I19" s="955" t="str">
        <f>IF(H19="季度增幅（自定义）",SUMIF(N21:N24,E2,O21:O24),"")</f>
        <v/>
      </c>
      <c r="J19" s="2582"/>
      <c r="K19" s="2583"/>
      <c r="L19" s="2587" t="s">
        <v>2695</v>
      </c>
      <c r="M19" s="1826">
        <f>ROUND(SUMIF(地价!B2:F2,E2,地价!B20:F20),0)</f>
        <v>0</v>
      </c>
      <c r="N19" s="1465" t="s">
        <v>2696</v>
      </c>
      <c r="O19" s="956">
        <f>ROUNDDOWN(DATEDIF(E19,G19,"M")/3,0)</f>
        <v>15</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2697</v>
      </c>
      <c r="B20" s="2592" t="s">
        <v>2698</v>
      </c>
      <c r="C20" s="957" t="e">
        <f>ROUND(POWER(1+G20,J20-I20)*(POWER(1+G20,I20)-1)/(POWER(1+G20,J20)-1),4)</f>
        <v>#DIV/0!</v>
      </c>
      <c r="D20" s="2593" t="s">
        <v>2699</v>
      </c>
      <c r="E20" s="1856">
        <f ca="1">存贷款利率!D4/100</f>
        <v>4.3499999999999997E-2</v>
      </c>
      <c r="F20" s="2593" t="s">
        <v>2687</v>
      </c>
      <c r="G20" s="963">
        <f>SUMIF(M15:P15,E2,M17:P17)</f>
        <v>0</v>
      </c>
      <c r="H20" s="2593" t="s">
        <v>2700</v>
      </c>
      <c r="I20" s="964">
        <f>'数据-取费表'!B13</f>
        <v>62.7</v>
      </c>
      <c r="J20" s="965">
        <f>IF(E2="住宅",70,IF(E2="商业",40,50))</f>
        <v>50</v>
      </c>
      <c r="K20" s="2583"/>
      <c r="L20" s="2594" t="s">
        <v>2701</v>
      </c>
      <c r="M20" s="1827">
        <f>ROUND(SUMPRODUCT((地价!A5:A20=YEAR(G19)&amp;"-"&amp;ROUNDUP(MONTH(G19)/3,0))*(地价!B2:F2=E2)*(地价!B5:F20)),0)</f>
        <v>0</v>
      </c>
      <c r="N20" s="2595" t="s">
        <v>2702</v>
      </c>
      <c r="O20" s="2596" t="s">
        <v>2703</v>
      </c>
      <c r="P20" s="2597" t="s">
        <v>2704</v>
      </c>
      <c r="R20" s="1461"/>
      <c r="S20" s="1461"/>
      <c r="T20" s="1461"/>
      <c r="U20" s="1461"/>
      <c r="V20" s="1461"/>
      <c r="W20" s="1461"/>
      <c r="X20" s="1461"/>
      <c r="Y20" s="1461"/>
      <c r="Z20" s="1461"/>
      <c r="AA20" s="1461"/>
      <c r="AB20" s="1461"/>
      <c r="AC20" s="1461"/>
      <c r="AD20" s="1461"/>
      <c r="AE20" s="2583"/>
      <c r="AF20" s="2583"/>
    </row>
    <row r="21" spans="1:37" s="2526" customFormat="1" ht="14.25">
      <c r="A21" s="2598" t="s">
        <v>2705</v>
      </c>
      <c r="B21" s="2599" t="s">
        <v>2706</v>
      </c>
      <c r="C21" s="966" t="b">
        <f>IF(B21="容积率修正",IF(G3&lt;=10,D22,J22),C23)</f>
        <v>0</v>
      </c>
      <c r="D21" s="2600"/>
      <c r="E21" s="2600"/>
      <c r="F21" s="2600"/>
      <c r="G21" s="2600"/>
      <c r="H21" s="2600"/>
      <c r="I21" s="2600"/>
      <c r="J21" s="2601"/>
      <c r="K21" s="2583"/>
      <c r="N21" s="2602" t="s">
        <v>2707</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2710</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3"/>
      <c r="AF22" s="2583"/>
    </row>
    <row r="23" spans="1:37" ht="27">
      <c r="A23" s="2603">
        <v>2</v>
      </c>
      <c r="B23" s="2604" t="s">
        <v>2711</v>
      </c>
      <c r="C23" s="958" t="e">
        <f>ROUND(IF(G3&gt;1,IF(I3&lt;7,SUMPRODUCT((B93:B98=I3)*(C92:N92=G2)*(C93:N98)),SUMIF(C92:N92,G2,C100:N100)),IF(I3&lt;7,SUMPRODUCT((B102:B107=I3)*(C92:N92=G2)*(C102:N107)),SUMIF(C92:N92,G2,C109:N109))),4)</f>
        <v>#DIV/0!</v>
      </c>
      <c r="D23" s="2563"/>
      <c r="E23" s="2563"/>
      <c r="F23" s="2605"/>
      <c r="G23" s="2606"/>
      <c r="H23" s="2607"/>
      <c r="I23" s="2608"/>
      <c r="J23" s="2609"/>
      <c r="N23" s="2602" t="s">
        <v>2712</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2713</v>
      </c>
      <c r="B24" s="2611" t="s">
        <v>2714</v>
      </c>
      <c r="C24" s="968">
        <f>SUMIF(A46:A88,E2,B46:B88)</f>
        <v>0</v>
      </c>
      <c r="D24" s="2612"/>
      <c r="E24" s="2613"/>
      <c r="F24" s="2613"/>
      <c r="G24" s="2613"/>
      <c r="H24" s="2613"/>
      <c r="I24" s="2613"/>
      <c r="J24" s="2614"/>
      <c r="K24" s="2583"/>
      <c r="N24" s="2615" t="s">
        <v>2715</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3"/>
      <c r="AF24" s="2583"/>
    </row>
    <row r="25" spans="1:37" ht="15" thickBot="1">
      <c r="A25" s="2591" t="s">
        <v>2716</v>
      </c>
      <c r="B25" s="2616" t="s">
        <v>2717</v>
      </c>
      <c r="C25" s="959"/>
      <c r="D25" s="2537"/>
      <c r="E25" s="2537"/>
      <c r="F25" s="2617"/>
      <c r="G25" s="2537"/>
      <c r="H25" s="2537"/>
      <c r="I25" s="2537"/>
      <c r="J25" s="2538"/>
      <c r="L25" s="1461"/>
      <c r="M25" s="1461"/>
      <c r="N25" s="2618" t="s">
        <v>2718</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9"/>
      <c r="B26" s="2604" t="s">
        <v>2719</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2720</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2721</v>
      </c>
      <c r="C28" s="2629" t="s">
        <v>2722</v>
      </c>
      <c r="D28" s="2629" t="s">
        <v>2723</v>
      </c>
      <c r="E28" s="2630" t="s">
        <v>2724</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2725</v>
      </c>
      <c r="C29" s="123" t="e">
        <f>ROUND(C5*C18*C19*C20*C21*C24,0)</f>
        <v>#DIV/0!</v>
      </c>
      <c r="D29" s="2634"/>
      <c r="E29" s="972" t="e">
        <f>ROUND(C29*D29,0)</f>
        <v>#DIV/0!</v>
      </c>
      <c r="F29" s="2635" t="s">
        <v>2726</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2727</v>
      </c>
      <c r="C30" s="150" t="e">
        <f>ROUND(IF(E2="工业",C29*M39,C29*M38),0)</f>
        <v>#DIV/0!</v>
      </c>
      <c r="D30" s="2640"/>
      <c r="E30" s="972" t="e">
        <f>ROUND(C30*D30,0)</f>
        <v>#DIV/0!</v>
      </c>
      <c r="F30" s="2641" t="s">
        <v>2728</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2729</v>
      </c>
      <c r="C31" s="2646" t="s">
        <v>2730</v>
      </c>
      <c r="D31" s="2550"/>
      <c r="E31" s="2646"/>
      <c r="F31" s="2646"/>
      <c r="G31" s="2548" t="s">
        <v>2731</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2722</v>
      </c>
      <c r="D32" s="479" t="s">
        <v>2723</v>
      </c>
      <c r="E32" s="479" t="s">
        <v>2724</v>
      </c>
      <c r="F32" s="367" t="s">
        <v>2732</v>
      </c>
      <c r="G32" s="958" t="s">
        <v>2722</v>
      </c>
      <c r="H32" s="958" t="s">
        <v>2723</v>
      </c>
      <c r="I32" s="958"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6" t="s">
        <v>2733</v>
      </c>
      <c r="B33" s="2649" t="s">
        <v>2734</v>
      </c>
      <c r="C33" s="123" t="e">
        <f>ROUND(D5*C19*C20*C24*F33,0)</f>
        <v>#DIV/0!</v>
      </c>
      <c r="D33" s="2634"/>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7"/>
      <c r="B34" s="2554" t="s">
        <v>2735</v>
      </c>
      <c r="C34" s="123" t="e">
        <f>ROUND(D5*C19*C20*C24*F34,0)</f>
        <v>#DIV/0!</v>
      </c>
      <c r="D34" s="2634"/>
      <c r="E34" s="117" t="e">
        <f t="shared" si="6"/>
        <v>#DIV/0!</v>
      </c>
      <c r="F34" s="117">
        <f>SUMIF(修正!A45:A56,G2,修正!C45:C56)</f>
        <v>0.3</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7"/>
      <c r="B35" s="2554" t="s">
        <v>2736</v>
      </c>
      <c r="C35" s="123" t="e">
        <f>ROUND(D5*C19*C20*C24*F35,0)</f>
        <v>#DIV/0!</v>
      </c>
      <c r="D35" s="2634"/>
      <c r="E35" s="117" t="e">
        <f t="shared" si="6"/>
        <v>#DIV/0!</v>
      </c>
      <c r="F35" s="117">
        <f>SUMIF(修正!A45:A56,G2,修正!D45:D56)</f>
        <v>0.2</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8"/>
      <c r="B36" s="2554" t="s">
        <v>2737</v>
      </c>
      <c r="C36" s="123" t="e">
        <f>ROUND(D5*C19*C20*C24*F36,0)</f>
        <v>#DIV/0!</v>
      </c>
      <c r="D36" s="2634"/>
      <c r="E36" s="117" t="e">
        <f t="shared" si="6"/>
        <v>#DIV/0!</v>
      </c>
      <c r="F36" s="117">
        <f>SUMIF(修正!A45:A56,G2,修正!E45:E56)</f>
        <v>0.2</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2738</v>
      </c>
      <c r="C37" s="117" t="e">
        <f>ROUND(C5*C19*C20*C24*F37,0)</f>
        <v>#DIV/0!</v>
      </c>
      <c r="D37" s="2634"/>
      <c r="E37" s="117" t="e">
        <f t="shared" si="6"/>
        <v>#DIV/0!</v>
      </c>
      <c r="F37" s="123">
        <f>SUMIF(修正!A45:A56,G2,修正!F45:F56)</f>
        <v>0.2</v>
      </c>
      <c r="G37" s="117" t="e">
        <f t="shared" si="7"/>
        <v>#DIV/0!</v>
      </c>
      <c r="H37" s="117">
        <f t="shared" si="9"/>
        <v>0</v>
      </c>
      <c r="I37" s="117" t="e">
        <f t="shared" si="8"/>
        <v>#DIV/0!</v>
      </c>
      <c r="J37" s="2650"/>
      <c r="L37" s="2653" t="s">
        <v>2739</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2740</v>
      </c>
      <c r="C38" s="117" t="e">
        <f>ROUND(C5*C19*C20*C24*F38,0)</f>
        <v>#DIV/0!</v>
      </c>
      <c r="D38" s="2634"/>
      <c r="E38" s="117" t="e">
        <f t="shared" si="6"/>
        <v>#DIV/0!</v>
      </c>
      <c r="F38" s="123">
        <f>SUMIF(修正!A45:A56,G2,修正!G45:G56)</f>
        <v>0.2</v>
      </c>
      <c r="G38" s="117" t="e">
        <f t="shared" si="7"/>
        <v>#DIV/0!</v>
      </c>
      <c r="H38" s="117">
        <f t="shared" si="9"/>
        <v>0</v>
      </c>
      <c r="I38" s="117" t="e">
        <f t="shared" si="8"/>
        <v>#DIV/0!</v>
      </c>
      <c r="J38" s="2650"/>
      <c r="L38" s="2654" t="s">
        <v>2741</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2742</v>
      </c>
      <c r="C39" s="150" t="e">
        <f>ROUND(C5*C19*C20*C24*F39,0)</f>
        <v>#DIV/0!</v>
      </c>
      <c r="D39" s="2640"/>
      <c r="E39" s="150" t="e">
        <f t="shared" si="6"/>
        <v>#DIV/0!</v>
      </c>
      <c r="F39" s="961">
        <f>SUMIF(修正!A45:A56,G2,修正!H45:H56)</f>
        <v>0.15</v>
      </c>
      <c r="G39" s="150" t="e">
        <f t="shared" si="7"/>
        <v>#DIV/0!</v>
      </c>
      <c r="H39" s="150">
        <f t="shared" si="9"/>
        <v>0</v>
      </c>
      <c r="I39" s="150" t="e">
        <f t="shared" si="8"/>
        <v>#DIV/0!</v>
      </c>
      <c r="J39" s="2657"/>
      <c r="L39" s="2658" t="s">
        <v>2680</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2744</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2745</v>
      </c>
      <c r="B47" s="823" t="s">
        <v>2746</v>
      </c>
      <c r="C47" s="823" t="s">
        <v>2747</v>
      </c>
      <c r="D47" s="823" t="s">
        <v>2748</v>
      </c>
      <c r="E47" s="824" t="s">
        <v>2749</v>
      </c>
      <c r="F47" s="2671" t="s">
        <v>2750</v>
      </c>
      <c r="G47" s="823" t="s">
        <v>2751</v>
      </c>
      <c r="H47" s="2672" t="s">
        <v>2752</v>
      </c>
      <c r="I47" s="823"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63.75">
      <c r="A49" s="2670" t="s">
        <v>2760</v>
      </c>
      <c r="B49" s="2674" t="str">
        <f>估价对象房地状况!C18</f>
        <v>估价对象周边有通28路、专47路等公交线路，距地铁亦庄线（经海路站）约2.6公里，综合评价交通便捷度一般</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2761</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2762</v>
      </c>
      <c r="B51" s="2675" t="s">
        <v>2763</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2764</v>
      </c>
      <c r="B52" s="2674" t="str">
        <f>估价对象房地状况!C24</f>
        <v>城市支路——兴贸一街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2765</v>
      </c>
      <c r="B53" s="2676" t="s">
        <v>2766</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2767</v>
      </c>
      <c r="B54" s="2678" t="str">
        <f>估价对象房地状况!C21</f>
        <v>估价对象所在区域公共配套设施齐备情况较好</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4">
      <c r="A55" s="2677" t="s">
        <v>2768</v>
      </c>
      <c r="B55" s="2674" t="str">
        <f>估价对象房地状况!C22</f>
        <v>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2769</v>
      </c>
      <c r="B56" s="2680" t="str">
        <f>估价对象房地状况!C20</f>
        <v>区域自然环境：金马公园；人文环境；综合评价环境状况一般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2770</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2745</v>
      </c>
      <c r="B58" s="2674"/>
      <c r="C58" s="823" t="s">
        <v>2747</v>
      </c>
      <c r="D58" s="823" t="s">
        <v>2748</v>
      </c>
      <c r="E58" s="824" t="s">
        <v>2749</v>
      </c>
      <c r="F58" s="2671" t="s">
        <v>2750</v>
      </c>
      <c r="G58" s="823" t="s">
        <v>2771</v>
      </c>
      <c r="H58" s="2672" t="s">
        <v>2772</v>
      </c>
      <c r="I58" s="823"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63.75">
      <c r="A60" s="2670" t="s">
        <v>2760</v>
      </c>
      <c r="B60" s="2674" t="str">
        <f>估价对象房地状况!C18</f>
        <v>估价对象周边有通28路、专47路等公交线路，距地铁亦庄线（经海路站）约2.6公里，综合评价交通便捷度一般</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2761</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2762</v>
      </c>
      <c r="B62" s="2675" t="s">
        <v>2763</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2764</v>
      </c>
      <c r="B63" s="2674" t="str">
        <f>估价对象房地状况!C24</f>
        <v>城市支路——兴贸一街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2765</v>
      </c>
      <c r="B64" s="2676" t="s">
        <v>2766</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2767</v>
      </c>
      <c r="B65" s="2678" t="str">
        <f>估价对象房地状况!C21</f>
        <v>估价对象所在区域公共配套设施齐备情况较好</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4">
      <c r="A66" s="2670" t="s">
        <v>2768</v>
      </c>
      <c r="B66" s="2678" t="str">
        <f>估价对象房地状况!C22</f>
        <v>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2769</v>
      </c>
      <c r="B67" s="2682" t="str">
        <f>估价对象房地状况!C20</f>
        <v>区域自然环境：金马公园；人文环境；综合评价环境状况一般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2775</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2745</v>
      </c>
      <c r="B69" s="2674"/>
      <c r="C69" s="823" t="s">
        <v>2747</v>
      </c>
      <c r="D69" s="823" t="s">
        <v>2748</v>
      </c>
      <c r="E69" s="824" t="s">
        <v>2749</v>
      </c>
      <c r="F69" s="2671" t="s">
        <v>2750</v>
      </c>
      <c r="G69" s="823" t="s">
        <v>2771</v>
      </c>
      <c r="H69" s="2672" t="s">
        <v>2772</v>
      </c>
      <c r="I69" s="823"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2776</v>
      </c>
      <c r="B70" s="2673" t="str">
        <f>估价对象房地状况!C15</f>
        <v>估价对象周边有富力尚悦居、珠江四季、星悦国际等住宅小区，综合评价居住社区成熟度较好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63.75">
      <c r="A71" s="2670" t="s">
        <v>2760</v>
      </c>
      <c r="B71" s="2674" t="str">
        <f>估价对象房地状况!C18</f>
        <v>估价对象周边有通28路、专47路等公交线路，距地铁亦庄线（经海路站）约2.6公里，综合评价交通便捷度一般</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2761</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2777</v>
      </c>
      <c r="B73" s="2674" t="str">
        <f>估价对象房地状况!C24</f>
        <v>城市支路——兴贸一街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2767</v>
      </c>
      <c r="B74" s="2678" t="str">
        <f>估价对象房地状况!C21</f>
        <v>估价对象所在区域公共配套设施齐备情况较好</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4">
      <c r="A75" s="2670" t="s">
        <v>2768</v>
      </c>
      <c r="B75" s="2678" t="str">
        <f>估价对象房地状况!C22</f>
        <v>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2765</v>
      </c>
      <c r="B76" s="2676" t="s">
        <v>2766</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38.25">
      <c r="A77" s="2670" t="s">
        <v>2769</v>
      </c>
      <c r="B77" s="2673" t="str">
        <f>估价对象房地状况!C20</f>
        <v>区域自然环境：金马公园；人文环境；综合评价环境状况一般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2778</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2779</v>
      </c>
      <c r="B79" s="2681">
        <f>1+E81</f>
        <v>1</v>
      </c>
      <c r="C79" s="817"/>
      <c r="D79" s="817"/>
      <c r="E79" s="818"/>
      <c r="F79" s="2668"/>
      <c r="G79" s="7"/>
      <c r="H79" s="7"/>
      <c r="I79" s="7"/>
      <c r="J79" s="9"/>
      <c r="K79" s="9"/>
      <c r="L79" s="9"/>
      <c r="M79" s="9"/>
      <c r="N79" s="9"/>
      <c r="Z79" s="2507"/>
      <c r="AA79" s="2584"/>
      <c r="AG79" s="2660"/>
      <c r="AK79" s="2584"/>
    </row>
    <row r="80" spans="1:37" ht="24.75">
      <c r="A80" s="2670" t="s">
        <v>2745</v>
      </c>
      <c r="B80" s="2674"/>
      <c r="C80" s="823" t="s">
        <v>2747</v>
      </c>
      <c r="D80" s="823" t="s">
        <v>2748</v>
      </c>
      <c r="E80" s="824" t="s">
        <v>2749</v>
      </c>
      <c r="F80" s="2671" t="s">
        <v>2750</v>
      </c>
      <c r="G80" s="823" t="s">
        <v>2771</v>
      </c>
      <c r="H80" s="2672" t="s">
        <v>2772</v>
      </c>
      <c r="I80" s="823"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2761</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2777</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2767</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2768</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2765</v>
      </c>
      <c r="B87" s="2676" t="s">
        <v>2766</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78" t="s">
        <v>2782</v>
      </c>
      <c r="B90" s="3078"/>
      <c r="C90" s="3078"/>
      <c r="D90" s="3078"/>
      <c r="E90" s="3078"/>
      <c r="F90" s="3078"/>
      <c r="G90" s="3078"/>
      <c r="H90" s="3078"/>
      <c r="I90" s="3078"/>
      <c r="J90" s="3078"/>
      <c r="K90" s="2687"/>
      <c r="L90" s="2687"/>
      <c r="M90" s="2687"/>
      <c r="N90" s="2687"/>
    </row>
    <row r="91" spans="1:37">
      <c r="A91" s="3080" t="s">
        <v>2783</v>
      </c>
      <c r="B91" s="3080" t="s">
        <v>2784</v>
      </c>
      <c r="C91" s="2635" t="s">
        <v>2785</v>
      </c>
      <c r="D91" s="2636"/>
      <c r="E91" s="2636"/>
      <c r="F91" s="2636"/>
      <c r="G91" s="2636"/>
      <c r="H91" s="2636"/>
      <c r="I91" s="2636"/>
      <c r="J91" s="2688"/>
      <c r="K91" s="2689"/>
      <c r="L91" s="2689"/>
      <c r="M91" s="2689"/>
      <c r="N91" s="2689"/>
    </row>
    <row r="92" spans="1:37">
      <c r="A92" s="3080"/>
      <c r="B92" s="3080"/>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81"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2"/>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2"/>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2"/>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2"/>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2"/>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2"/>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3"/>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1"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2"/>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2"/>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2"/>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2"/>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2"/>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2"/>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2"/>
      <c r="B108" s="3084"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3"/>
      <c r="B109" s="3085"/>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9" t="s">
        <v>2790</v>
      </c>
      <c r="B110" s="3079"/>
      <c r="C110" s="3079"/>
      <c r="D110" s="3079"/>
      <c r="E110" s="3079"/>
      <c r="F110" s="3079"/>
      <c r="G110" s="3079"/>
      <c r="H110" s="3079"/>
      <c r="I110" s="3079"/>
      <c r="J110" s="3079"/>
      <c r="K110" s="2696"/>
      <c r="L110" s="2696"/>
      <c r="M110" s="2696"/>
      <c r="N110" s="2696"/>
    </row>
    <row r="112" spans="1:14" ht="13.5" thickBot="1"/>
    <row r="113" spans="1:13" ht="25.5" thickBot="1">
      <c r="A113" s="928" t="s">
        <v>2791</v>
      </c>
      <c r="B113" s="1378">
        <f>G3</f>
        <v>0</v>
      </c>
      <c r="C113" s="929" t="s">
        <v>2792</v>
      </c>
      <c r="D113" s="930">
        <f>SUMPRODUCT((A115:A118=F113)*(B114:M114=H113)*B115:M118)</f>
        <v>0</v>
      </c>
      <c r="E113" s="2698" t="s">
        <v>2676</v>
      </c>
      <c r="F113" s="2699">
        <f>E2</f>
        <v>0</v>
      </c>
      <c r="G113" s="2698" t="s">
        <v>2610</v>
      </c>
      <c r="H113" s="2699" t="str">
        <f>G2</f>
        <v>八级</v>
      </c>
      <c r="I113" s="2698"/>
      <c r="J113" s="2700"/>
      <c r="K113" s="2700"/>
      <c r="L113" s="2700"/>
      <c r="M113" s="2700"/>
    </row>
    <row r="114" spans="1:13">
      <c r="A114" s="933"/>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估价对象周边有通28路、专47路等公交线路，距地铁亦庄线（经海路站）约2.6公里，综合评价交通便捷度一般</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城市支路——兴贸一街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区域自然环境：金马公园；人文环境；综合评价环境状况一般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估价对象周边有通28路、专47路等公交线路，距地铁亦庄线（经海路站）约2.6公里，综合评价交通便捷度一般</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城市支路——兴贸一街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区域自然环境：金马公园；人文环境；综合评价环境状况一般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估价对象周边有富力尚悦居、珠江四季、星悦国际等住宅小区，综合评价居住社区成熟度较好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估价对象周边有通28路、专47路等公交线路，距地铁亦庄线（经海路站）约2.6公里，综合评价交通便捷度一般</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城市支路——兴贸一街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区域自然环境：金马公园；人文环境；综合评价环境状况一般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108" t="s">
        <v>1034</v>
      </c>
      <c r="C1" s="3108"/>
      <c r="D1" s="3108"/>
      <c r="E1" s="3108"/>
      <c r="F1" s="3108"/>
      <c r="G1" s="3107" t="s">
        <v>1035</v>
      </c>
      <c r="H1" s="3107"/>
      <c r="I1" s="3107"/>
      <c r="J1" s="3107"/>
      <c r="K1" s="3107"/>
      <c r="L1" s="3107"/>
      <c r="N1" s="3107" t="s">
        <v>1036</v>
      </c>
      <c r="O1" s="3107"/>
      <c r="P1" s="3107"/>
      <c r="Q1" s="3107"/>
      <c r="R1" s="1547"/>
      <c r="S1" s="3107" t="s">
        <v>1037</v>
      </c>
      <c r="T1" s="3107"/>
      <c r="U1" s="3107"/>
      <c r="V1" s="3107"/>
      <c r="X1" s="3106" t="s">
        <v>1038</v>
      </c>
      <c r="Y1" s="3107"/>
      <c r="Z1" s="3107"/>
      <c r="AA1" s="3107"/>
      <c r="AB1" s="3107"/>
      <c r="AD1" s="3106" t="s">
        <v>1039</v>
      </c>
      <c r="AE1" s="3107"/>
      <c r="AF1" s="3107"/>
      <c r="AG1" s="3107"/>
      <c r="AH1" s="310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2"/>
      <c r="J3" s="2712"/>
      <c r="K3" s="2712"/>
      <c r="L3" s="2712"/>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2812</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3">
        <f>ROUND(AVERAGE(I5:I20),2)</f>
        <v>2.4900000000000002</v>
      </c>
      <c r="J4" s="2713">
        <f t="shared" ref="J4:K4" si="6">ROUND(AVERAGE(J5:J20),2)</f>
        <v>1.64</v>
      </c>
      <c r="K4" s="2713">
        <f t="shared" si="6"/>
        <v>2.78</v>
      </c>
      <c r="L4" s="2713">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2810</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0">
        <v>2017</v>
      </c>
      <c r="H5" s="1821">
        <v>4</v>
      </c>
      <c r="I5" s="2714">
        <f>ROUND(AVERAGE(I6:I20),2)</f>
        <v>2.4900000000000002</v>
      </c>
      <c r="J5" s="2714">
        <f>ROUND(AVERAGE(J6:J20),2)</f>
        <v>1.64</v>
      </c>
      <c r="K5" s="2714">
        <f>ROUND(AVERAGE(K6:K20),2)</f>
        <v>2.78</v>
      </c>
      <c r="L5" s="2715">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2811</v>
      </c>
      <c r="B6" s="1580">
        <f>B7*(1+N6)</f>
        <v>431.80730811680002</v>
      </c>
      <c r="C6" s="1580">
        <f t="shared" ref="C6" si="17">C7*(1+O6)</f>
        <v>320.57880516480003</v>
      </c>
      <c r="D6" s="1580">
        <f t="shared" si="3"/>
        <v>320.57880516480003</v>
      </c>
      <c r="E6" s="1580">
        <f t="shared" ref="E6:F8" si="18">E7*(1+P6)</f>
        <v>615.96110553196797</v>
      </c>
      <c r="F6" s="1580">
        <f t="shared" si="18"/>
        <v>279.46777300108801</v>
      </c>
      <c r="G6" s="2711"/>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1261</v>
      </c>
      <c r="B7" s="1580">
        <f>B8*(1+N7)</f>
        <v>419.31181600000002</v>
      </c>
      <c r="C7" s="1580">
        <f t="shared" ref="C7" si="22">C8*(1+O7)</f>
        <v>313.95436800000004</v>
      </c>
      <c r="D7" s="1580">
        <f t="shared" si="3"/>
        <v>313.95436800000004</v>
      </c>
      <c r="E7" s="1580">
        <f t="shared" si="18"/>
        <v>596.63028431999999</v>
      </c>
      <c r="F7" s="1580">
        <f t="shared" si="18"/>
        <v>274.74220703999998</v>
      </c>
      <c r="G7" s="2710"/>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1"/>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109">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104"/>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104"/>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105"/>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103">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104"/>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104"/>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105"/>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103">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104"/>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104"/>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105"/>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110">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111"/>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111"/>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12"/>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103">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104"/>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104"/>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105"/>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103">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104">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104">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105">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103">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104">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104">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105">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103">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104">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104">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105">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103">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104">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104">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105">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103">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104">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104">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105">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103">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104">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104">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105">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103">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104">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104">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105">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103">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104">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104">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105">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103">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104">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104">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105">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103">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104">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104">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105">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43073</v>
      </c>
      <c r="D1" s="1802" t="s">
        <v>1188</v>
      </c>
      <c r="E1" s="1808">
        <f>'数据-取费表'!B23</f>
        <v>1.5</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8:N58"/>
  <sheetViews>
    <sheetView topLeftCell="A55" workbookViewId="0">
      <selection activeCell="E101" sqref="E101"/>
    </sheetView>
  </sheetViews>
  <sheetFormatPr defaultRowHeight="13.5"/>
  <cols>
    <col min="13" max="13" width="11.625" bestFit="1" customWidth="1"/>
  </cols>
  <sheetData>
    <row r="58" spans="13:14">
      <c r="M58" s="2743">
        <v>43066</v>
      </c>
      <c r="N58">
        <v>34531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7"/>
      <c r="B5" s="1931" t="s">
        <v>742</v>
      </c>
      <c r="C5" s="2759" t="s">
        <v>784</v>
      </c>
      <c r="D5" s="2760"/>
      <c r="E5" s="1927"/>
    </row>
    <row r="6" spans="1:5" ht="14.25">
      <c r="A6" s="1927"/>
      <c r="B6" s="1932" t="str">
        <f>项目基本情况!I1</f>
        <v>北京市房地产</v>
      </c>
      <c r="C6" s="2761">
        <f>项目基本情况!C12</f>
        <v>77.75</v>
      </c>
      <c r="D6" s="2761"/>
      <c r="E6" s="1927"/>
    </row>
    <row r="7" spans="1:5" ht="14.25">
      <c r="A7" s="1927"/>
      <c r="B7" s="2755" t="s">
        <v>785</v>
      </c>
      <c r="C7" s="1933" t="str">
        <f>IF('数据-取费表'!B3="万元","总价（万元）","总价（元）")</f>
        <v>总价（元）</v>
      </c>
      <c r="D7" s="1934">
        <f ca="1">IF('数据-取费表'!E3="否",结果表!I102,'结果表 (1修多)'!I103)</f>
        <v>2494842</v>
      </c>
      <c r="E7" s="1927"/>
    </row>
    <row r="8" spans="1:5" ht="28.5">
      <c r="A8" s="1927"/>
      <c r="B8" s="2755"/>
      <c r="C8" s="1935" t="s">
        <v>1177</v>
      </c>
      <c r="D8" s="1936" t="str">
        <f ca="1">IF('数据-取费表'!B3="万元",NUMBERSTRING(INT(D7*10000),2)&amp;"元整",NUMBERSTRING(INT(D7),2)&amp;"元整")</f>
        <v>贰佰肆拾玖万肆仟捌佰肆拾贰元整</v>
      </c>
      <c r="E8" s="1927"/>
    </row>
    <row r="9" spans="1:5" ht="14.25">
      <c r="A9" s="1927"/>
      <c r="B9" s="2755"/>
      <c r="C9" s="1937" t="s">
        <v>1275</v>
      </c>
      <c r="D9" s="1934">
        <f ca="1">IF('数据-取费表'!E3="否",结果表!I103,'结果表 (1修多)'!I104)</f>
        <v>32088</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2494842</v>
      </c>
      <c r="E15" s="1927"/>
    </row>
    <row r="16" spans="1:5" ht="28.5">
      <c r="A16" s="1927"/>
      <c r="B16" s="2762"/>
      <c r="C16" s="1935" t="s">
        <v>1177</v>
      </c>
      <c r="D16" s="1934" t="str">
        <f ca="1">IF('数据-取费表'!B3="万元",NUMBERSTRING(INT(D15*10000),2)&amp;"元整",NUMBERSTRING(INT(D15),2)&amp;"元整")</f>
        <v>贰佰肆拾玖万肆仟捌佰肆拾贰元整</v>
      </c>
      <c r="E16" s="1927"/>
    </row>
    <row r="17" spans="1:5" ht="14.25">
      <c r="A17" s="1927"/>
      <c r="B17" s="2762"/>
      <c r="C17" s="1937" t="s">
        <v>1275</v>
      </c>
      <c r="D17" s="1934">
        <f ca="1">IF('数据-取费表'!E3="否",结果表!I111,'结果表 (1修多)'!I112)</f>
        <v>32088</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1177</v>
      </c>
      <c r="D19" s="1934" t="e">
        <f>IF('数据-取费表'!B3="万元",NUMBERSTRING(INT(D18*10000),2)&amp;"元整",NUMBERSTRING(INT(D18),2)&amp;"元整")</f>
        <v>#VALUE!</v>
      </c>
      <c r="E19" s="1927"/>
    </row>
    <row r="20" spans="1:5" ht="14.25">
      <c r="A20" s="1927"/>
      <c r="B20" s="2762"/>
      <c r="C20" s="1937" t="s">
        <v>1275</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1177</v>
      </c>
      <c r="D22" s="1936" t="e">
        <f>IF('数据-取费表'!B3="万元",NUMBERSTRING(INT(D21*10000),2)&amp;"元整",NUMBERSTRING(INT(D21),2)&amp;"元整")</f>
        <v>#VALUE!</v>
      </c>
      <c r="E22" s="1927"/>
    </row>
    <row r="23" spans="1:5" ht="15" thickBot="1">
      <c r="A23" s="1927"/>
      <c r="B23" s="2756"/>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1276</v>
      </c>
      <c r="C25" s="2770"/>
      <c r="D25" s="2770"/>
      <c r="E25" s="1927"/>
    </row>
    <row r="26" spans="1:5" ht="18.75" customHeight="1" thickTop="1">
      <c r="A26" s="1927"/>
      <c r="B26" s="2773" t="s">
        <v>1176</v>
      </c>
      <c r="C26" s="2774"/>
      <c r="D26" s="2771" t="s">
        <v>1175</v>
      </c>
      <c r="E26" s="1927"/>
    </row>
    <row r="27" spans="1:5" ht="18.75" customHeight="1">
      <c r="A27" s="1927"/>
      <c r="B27" s="2775"/>
      <c r="C27" s="2776"/>
      <c r="D27" s="2772"/>
      <c r="E27" s="1927"/>
    </row>
    <row r="28" spans="1:5" ht="14.25">
      <c r="A28" s="1927"/>
      <c r="B28" s="2763" t="s">
        <v>785</v>
      </c>
      <c r="C28" s="1944" t="s">
        <v>1178</v>
      </c>
      <c r="D28" s="1945">
        <f ca="1">IF('数据-取费表'!E3="否",结果表!I102,'结果表 (1修多)'!I103)</f>
        <v>2494842</v>
      </c>
      <c r="E28" s="1927"/>
    </row>
    <row r="29" spans="1:5" ht="28.5">
      <c r="A29" s="1927"/>
      <c r="B29" s="2764"/>
      <c r="C29" s="1946" t="s">
        <v>1177</v>
      </c>
      <c r="D29" s="1947" t="str">
        <f ca="1">IF('数据-取费表'!B3="万元",NUMBERSTRING(INT(D28*10000),2)&amp;"元整",NUMBERSTRING(INT(D28),2)&amp;"元整")</f>
        <v>贰佰肆拾玖万肆仟捌佰肆拾贰元整</v>
      </c>
      <c r="E29" s="1927"/>
    </row>
    <row r="30" spans="1:5" ht="14.25">
      <c r="A30" s="1927"/>
      <c r="B30" s="2765"/>
      <c r="C30" s="1937" t="s">
        <v>1180</v>
      </c>
      <c r="D30" s="1948">
        <f ca="1">IF('数据-取费表'!E3="否",结果表!I103,'结果表 (1修多)'!I104)</f>
        <v>32088</v>
      </c>
      <c r="E30" s="1927"/>
    </row>
    <row r="31" spans="1:5" ht="14.25">
      <c r="A31" s="1927"/>
      <c r="B31" s="2768" t="str">
        <f>B10</f>
        <v>2.估价师所知悉的法定优先受偿款</v>
      </c>
      <c r="C31" s="1949" t="s">
        <v>1179</v>
      </c>
      <c r="D31" s="1950">
        <f>IF('数据-取费表'!E3="否",结果表!I105,'结果表 (1修多)'!I106)</f>
        <v>0</v>
      </c>
      <c r="E31" s="1927"/>
    </row>
    <row r="32" spans="1:5" ht="14.25">
      <c r="A32" s="1927"/>
      <c r="B32" s="2777"/>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2494842</v>
      </c>
      <c r="E36" s="1927"/>
    </row>
    <row r="37" spans="1:5" ht="28.5">
      <c r="A37" s="1927"/>
      <c r="B37" s="2766"/>
      <c r="C37" s="1946" t="s">
        <v>1177</v>
      </c>
      <c r="D37" s="1951" t="str">
        <f ca="1">IF('数据-取费表'!B3="万元",NUMBERSTRING(INT(D36*10000),2)&amp;"元整",NUMBERSTRING(INT(D36),2)&amp;"元整")</f>
        <v>贰佰肆拾玖万肆仟捌佰肆拾贰元整</v>
      </c>
      <c r="E37" s="1927"/>
    </row>
    <row r="38" spans="1:5" ht="14.25">
      <c r="A38" s="1927"/>
      <c r="B38" s="2766"/>
      <c r="C38" s="1937" t="s">
        <v>1181</v>
      </c>
      <c r="D38" s="1948">
        <f ca="1">IF('数据-取费表'!E3="否",结果表!D113,'结果表 (1修多)'!D116)</f>
        <v>32088</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1177</v>
      </c>
      <c r="D40" s="1951" t="e">
        <f>IF('数据-取费表'!B3="万元",NUMBERSTRING(INT(D39*10000),2)&amp;"元整",NUMBERSTRING(INT(D39),2)&amp;"元整")</f>
        <v>#VALUE!</v>
      </c>
      <c r="E40" s="1927"/>
    </row>
    <row r="41" spans="1:5" ht="14.25">
      <c r="A41" s="1927"/>
      <c r="B41" s="2767"/>
      <c r="C41" s="1937" t="s">
        <v>1181</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1177</v>
      </c>
      <c r="D43" s="1952" t="e">
        <f>IF('数据-取费表'!B3="万元",NUMBERSTRING(INT(D42*10000),2)&amp;"元整",NUMBERSTRING(INT(D42),2)&amp;"元整")</f>
        <v>#VALUE!</v>
      </c>
      <c r="E43" s="1927"/>
    </row>
    <row r="44" spans="1:5" ht="15" thickBot="1">
      <c r="A44" s="1927"/>
      <c r="B44" s="2769"/>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8" t="s">
        <v>1282</v>
      </c>
      <c r="E3" s="1048" t="s">
        <v>1283</v>
      </c>
      <c r="F3" s="1048" t="s">
        <v>1282</v>
      </c>
      <c r="G3" s="1048" t="s">
        <v>1284</v>
      </c>
      <c r="H3" s="1048" t="s">
        <v>1282</v>
      </c>
      <c r="I3" s="1048" t="s">
        <v>1284</v>
      </c>
    </row>
    <row r="4" spans="1:9" ht="46.5" customHeight="1">
      <c r="A4" s="1048" t="str">
        <f>项目基本情况!I1</f>
        <v>北京市房地产</v>
      </c>
      <c r="B4" s="1048">
        <f>结果表!B121</f>
        <v>77.75</v>
      </c>
      <c r="C4" s="1048">
        <f>结果表!C121</f>
        <v>0</v>
      </c>
      <c r="D4" s="1048">
        <f ca="1">IF('数据-取费表'!E3="否",结果表!D121,'结果表 (1修多)'!D124)</f>
        <v>2008360</v>
      </c>
      <c r="E4" s="1048">
        <f ca="1">IF('数据-取费表'!E3="否",结果表!E121,'结果表 (1修多)'!E124)</f>
        <v>25831</v>
      </c>
      <c r="F4" s="1048">
        <f ca="1">IF('数据-取费表'!E3="否",结果表!F121,'结果表 (1修多)'!F124)</f>
        <v>486482</v>
      </c>
      <c r="G4" s="1048">
        <f ca="1">IF('数据-取费表'!E3="否",结果表!G121,'结果表 (1修多)'!G124)</f>
        <v>6257</v>
      </c>
      <c r="H4" s="1048">
        <f ca="1">IF('数据-取费表'!E3="否",结果表!H121,'结果表 (1修多)'!H124)</f>
        <v>2494842</v>
      </c>
      <c r="I4" s="1048">
        <f ca="1">IF('数据-取费表'!E3="否",结果表!I121,'结果表 (1修多)'!I124)</f>
        <v>32088</v>
      </c>
    </row>
    <row r="5" spans="1:9" ht="15">
      <c r="A5" s="2780" t="s">
        <v>1285</v>
      </c>
      <c r="B5" s="2780"/>
      <c r="C5" s="2780"/>
      <c r="D5" s="2778" t="str">
        <f ca="1">IF('数据-取费表'!E3="否",结果表!D122,'结果表 (1修多)'!D125)</f>
        <v>贰佰万捌仟叁佰陆拾元整</v>
      </c>
      <c r="E5" s="2778"/>
      <c r="F5" s="2778" t="str">
        <f ca="1">IF('数据-取费表'!E3="否",结果表!F122,'结果表 (1修多)'!F125)</f>
        <v>肆拾捌万陆仟肆佰捌拾贰元整</v>
      </c>
      <c r="G5" s="2778"/>
      <c r="H5" s="2778" t="str">
        <f ca="1">IF('数据-取费表'!E3="否",结果表!H122,'结果表 (1修多)'!H125)</f>
        <v>贰佰肆拾玖万肆仟捌佰肆拾贰元整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2494842</v>
      </c>
      <c r="E8" s="2779"/>
      <c r="F8" s="2779"/>
      <c r="G8" s="2779"/>
      <c r="H8" s="2779"/>
      <c r="I8" s="2779"/>
    </row>
    <row r="9" spans="1:9" ht="15">
      <c r="A9" s="2780" t="s">
        <v>1285</v>
      </c>
      <c r="B9" s="2780"/>
      <c r="C9" s="2780"/>
      <c r="D9" s="2778">
        <f ca="1">IF('数据-取费表'!E3="否",结果表!D126,'结果表 (1修多)'!D129)</f>
        <v>32088</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1299</v>
      </c>
      <c r="B1" s="2793"/>
      <c r="C1" s="2793"/>
      <c r="D1" s="2793"/>
    </row>
    <row r="2" spans="1:4" ht="18">
      <c r="A2" s="2792" t="s">
        <v>1287</v>
      </c>
      <c r="B2" s="2792"/>
      <c r="C2" s="2792"/>
      <c r="D2" s="2792"/>
    </row>
    <row r="3" spans="1:4" ht="18.75">
      <c r="A3" s="1956" t="s">
        <v>1288</v>
      </c>
      <c r="B3" s="1956" t="s">
        <v>1289</v>
      </c>
      <c r="C3" s="1956" t="s">
        <v>1290</v>
      </c>
      <c r="D3" s="1956" t="s">
        <v>1291</v>
      </c>
    </row>
    <row r="4" spans="1:4" ht="56.25" customHeight="1">
      <c r="A4" s="1957" t="str">
        <f>项目基本情况!B3</f>
        <v>杨红英</v>
      </c>
      <c r="B4" s="1958">
        <f>项目基本情况!C3</f>
        <v>1120070085</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2" t="s">
        <v>1292</v>
      </c>
      <c r="B7" s="2792"/>
      <c r="C7" s="2792"/>
      <c r="D7" s="279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1302</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5"/>
      <c r="B21" s="1289"/>
      <c r="C21" s="1289"/>
      <c r="D21" s="1289"/>
    </row>
    <row r="22" spans="1:4">
      <c r="A22" s="1965"/>
      <c r="B22" s="1289"/>
      <c r="C22" s="1289"/>
      <c r="D22" s="1289"/>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0" t="s">
        <v>1386</v>
      </c>
      <c r="B19" s="1981"/>
      <c r="C19" s="1982"/>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3" t="s">
        <v>1392</v>
      </c>
    </row>
    <row r="24" spans="1:3" ht="14.25">
      <c r="A24" s="2797"/>
      <c r="B24" s="2798"/>
      <c r="C24" s="1983" t="s">
        <v>1393</v>
      </c>
    </row>
    <row r="25" spans="1:3" ht="14.25">
      <c r="A25" s="2797"/>
      <c r="B25" s="2798"/>
      <c r="C25" s="1983" t="s">
        <v>1394</v>
      </c>
    </row>
    <row r="26" spans="1:3" ht="14.25">
      <c r="A26" s="2797"/>
      <c r="B26" s="2798"/>
      <c r="C26" s="1983" t="s">
        <v>1395</v>
      </c>
    </row>
    <row r="27" spans="1:3" ht="14.25">
      <c r="A27" s="2797"/>
      <c r="B27" s="2798"/>
      <c r="C27" s="1983" t="s">
        <v>1396</v>
      </c>
    </row>
    <row r="28" spans="1:3" ht="14.25">
      <c r="A28" s="2797"/>
      <c r="B28" s="2798"/>
      <c r="C28" s="1983" t="s">
        <v>1397</v>
      </c>
    </row>
    <row r="29" spans="1:3" ht="14.25">
      <c r="A29" s="2797"/>
      <c r="B29" s="2798"/>
      <c r="C29" s="1983" t="s">
        <v>1398</v>
      </c>
    </row>
    <row r="30" spans="1:3" ht="14.25">
      <c r="A30" s="2797"/>
      <c r="B30" s="2798"/>
      <c r="C30" s="1983" t="s">
        <v>1399</v>
      </c>
    </row>
    <row r="31" spans="1:3" ht="14.25">
      <c r="A31" s="2797"/>
      <c r="B31" s="2798"/>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43087</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2017-12-18T04:49:34Z</dcterms:modified>
</cp:coreProperties>
</file>