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0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B44" i="31" l="1"/>
  <c r="A44" i="31"/>
  <c r="B26" i="31"/>
  <c r="B27" i="31"/>
  <c r="B28" i="31"/>
  <c r="B29" i="31"/>
  <c r="B30" i="31"/>
  <c r="B31" i="31"/>
  <c r="B32" i="31"/>
  <c r="B34" i="31"/>
  <c r="B35" i="31"/>
  <c r="B36" i="31"/>
  <c r="B37" i="31"/>
  <c r="B38" i="31"/>
  <c r="B39" i="31"/>
  <c r="B40" i="31"/>
  <c r="B41" i="31"/>
  <c r="B42" i="31"/>
  <c r="B43" i="31"/>
  <c r="B25" i="31"/>
  <c r="B24" i="31"/>
  <c r="A26" i="31"/>
  <c r="A27" i="31"/>
  <c r="A28" i="31"/>
  <c r="A29" i="31"/>
  <c r="A30" i="31"/>
  <c r="A31" i="31"/>
  <c r="A32" i="31"/>
  <c r="A34" i="31"/>
  <c r="A35" i="31"/>
  <c r="A36" i="31"/>
  <c r="A37" i="31"/>
  <c r="A38" i="31"/>
  <c r="A39" i="31"/>
  <c r="A40" i="31"/>
  <c r="A41" i="31"/>
  <c r="A42" i="31"/>
  <c r="A43" i="31"/>
  <c r="A25" i="31"/>
  <c r="A24" i="31"/>
  <c r="C19" i="6"/>
  <c r="I13" i="3"/>
  <c r="C13" i="3"/>
  <c r="C108" i="80"/>
  <c r="D90" i="80" s="1"/>
  <c r="C106" i="80"/>
  <c r="I14" i="3" s="1"/>
  <c r="F20" i="6" s="1"/>
  <c r="D104" i="80" l="1"/>
  <c r="D100" i="80"/>
  <c r="D98" i="80"/>
  <c r="D96" i="80"/>
  <c r="D94" i="80"/>
  <c r="D92" i="80"/>
  <c r="D88" i="80"/>
  <c r="D86" i="80"/>
  <c r="D105" i="80" s="1"/>
  <c r="D106" i="80" s="1"/>
  <c r="A3" i="3" s="1"/>
  <c r="D103" i="80"/>
  <c r="D101" i="80"/>
  <c r="D99" i="80"/>
  <c r="D97" i="80"/>
  <c r="D95" i="80"/>
  <c r="D93" i="80"/>
  <c r="D91" i="80"/>
  <c r="D89" i="80"/>
  <c r="D87" i="80"/>
  <c r="D102" i="80"/>
  <c r="P4" i="80"/>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C64" i="80" l="1"/>
  <c r="C76" i="80" l="1"/>
  <c r="G76" i="80" s="1"/>
  <c r="C75" i="9"/>
  <c r="C67" i="80"/>
  <c r="D19" i="80" s="1"/>
  <c r="Y6" i="1"/>
  <c r="N19" i="1"/>
  <c r="N21" i="1" s="1"/>
  <c r="F19" i="6"/>
  <c r="C34" i="34" s="1"/>
  <c r="C96" i="78"/>
  <c r="G89" i="78"/>
  <c r="E89" i="78"/>
  <c r="C89" i="78"/>
  <c r="G82" i="78"/>
  <c r="H85" i="78" s="1"/>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H103" i="77" l="1"/>
  <c r="D120" i="77" s="1"/>
  <c r="H111" i="77"/>
  <c r="D126" i="77" s="1"/>
  <c r="D127" i="77" s="1"/>
  <c r="A126" i="77"/>
  <c r="D2" i="80"/>
  <c r="D49" i="80"/>
  <c r="D33" i="80"/>
  <c r="D17" i="80"/>
  <c r="D7" i="80"/>
  <c r="D58" i="80"/>
  <c r="D50" i="80"/>
  <c r="D42" i="80"/>
  <c r="D34" i="80"/>
  <c r="D26" i="80"/>
  <c r="D18" i="80"/>
  <c r="D10" i="80"/>
  <c r="D61" i="80"/>
  <c r="D43" i="80"/>
  <c r="D27" i="80"/>
  <c r="D55" i="80"/>
  <c r="D41" i="80"/>
  <c r="D25" i="80"/>
  <c r="D13" i="80"/>
  <c r="D3" i="80"/>
  <c r="D62" i="80"/>
  <c r="D54" i="80"/>
  <c r="D46" i="80"/>
  <c r="D38" i="80"/>
  <c r="D30" i="80"/>
  <c r="D22" i="80"/>
  <c r="D14" i="80"/>
  <c r="D6" i="80"/>
  <c r="D51" i="80"/>
  <c r="D35" i="80"/>
  <c r="D59" i="80"/>
  <c r="D53" i="80"/>
  <c r="D45" i="80"/>
  <c r="D37" i="80"/>
  <c r="D29" i="80"/>
  <c r="D21" i="80"/>
  <c r="D15" i="80"/>
  <c r="D9" i="80"/>
  <c r="D5" i="80"/>
  <c r="D60" i="80"/>
  <c r="D56" i="80"/>
  <c r="D52" i="80"/>
  <c r="D48" i="80"/>
  <c r="D44" i="80"/>
  <c r="D40" i="80"/>
  <c r="D36" i="80"/>
  <c r="D32" i="80"/>
  <c r="D28" i="80"/>
  <c r="D24" i="80"/>
  <c r="D20" i="80"/>
  <c r="D16" i="80"/>
  <c r="D12" i="80"/>
  <c r="D8" i="80"/>
  <c r="D4" i="80"/>
  <c r="D57" i="80"/>
  <c r="D47" i="80"/>
  <c r="D39" i="80"/>
  <c r="D31" i="80"/>
  <c r="D23" i="80"/>
  <c r="D11" i="80"/>
  <c r="C18" i="77"/>
  <c r="D18" i="77" s="1"/>
  <c r="C92" i="77"/>
  <c r="C94" i="77"/>
  <c r="K120" i="77"/>
  <c r="D121" i="77"/>
  <c r="AH5" i="71"/>
  <c r="AG5" i="71"/>
  <c r="AE5" i="71"/>
  <c r="AF5" i="71" s="1"/>
  <c r="AD5" i="71"/>
  <c r="Q5" i="71"/>
  <c r="P5" i="71"/>
  <c r="O5" i="71"/>
  <c r="N5" i="71"/>
  <c r="D63" i="80" l="1"/>
  <c r="D64" i="80" s="1"/>
  <c r="D76" i="80" s="1"/>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c r="P61" i="15"/>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s="1"/>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D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AA27" i="71" s="1"/>
  <c r="O28" i="71"/>
  <c r="Y28" i="71"/>
  <c r="Z28" i="71" s="1"/>
  <c r="N28" i="71"/>
  <c r="Q27" i="71"/>
  <c r="F28" i="71" s="1"/>
  <c r="F29" i="71" s="1"/>
  <c r="F30" i="71" s="1"/>
  <c r="V30" i="71" s="1"/>
  <c r="P27" i="71"/>
  <c r="O27" i="71"/>
  <c r="Y27" i="71" s="1"/>
  <c r="Z27" i="71" s="1"/>
  <c r="N27" i="71"/>
  <c r="D27" i="71"/>
  <c r="Q26" i="71"/>
  <c r="P26" i="71"/>
  <c r="AA26" i="71" s="1"/>
  <c r="O26" i="71"/>
  <c r="Y26" i="71"/>
  <c r="Z26" i="71" s="1"/>
  <c r="N26" i="71"/>
  <c r="Q25" i="71"/>
  <c r="AB25" i="71" s="1"/>
  <c r="P25" i="71"/>
  <c r="AA25" i="71" s="1"/>
  <c r="O25" i="71"/>
  <c r="N25" i="71"/>
  <c r="X22" i="71" s="1"/>
  <c r="Q24" i="71"/>
  <c r="P24" i="71"/>
  <c r="AA24" i="71" s="1"/>
  <c r="O24" i="71"/>
  <c r="Y24" i="71"/>
  <c r="Z24" i="71" s="1"/>
  <c r="N24" i="71"/>
  <c r="Q23" i="71"/>
  <c r="F24" i="71" s="1"/>
  <c r="F25" i="71" s="1"/>
  <c r="F26" i="71" s="1"/>
  <c r="V26" i="71" s="1"/>
  <c r="P23" i="71"/>
  <c r="O23" i="71"/>
  <c r="C24" i="71" s="1"/>
  <c r="N23" i="71"/>
  <c r="D23" i="71"/>
  <c r="Q22" i="71"/>
  <c r="P22" i="71"/>
  <c r="O22" i="71"/>
  <c r="Y22" i="71"/>
  <c r="Z22" i="71" s="1"/>
  <c r="N22" i="71"/>
  <c r="Q21" i="71"/>
  <c r="AB21" i="71" s="1"/>
  <c r="P21" i="71"/>
  <c r="O21" i="71"/>
  <c r="N21" i="71"/>
  <c r="X21" i="71" s="1"/>
  <c r="Q20" i="71"/>
  <c r="P20" i="71"/>
  <c r="O20" i="71"/>
  <c r="Y20" i="71"/>
  <c r="Z20" i="71" s="1"/>
  <c r="N20" i="71"/>
  <c r="Q19" i="71"/>
  <c r="F20" i="71" s="1"/>
  <c r="F21" i="71" s="1"/>
  <c r="F22" i="71" s="1"/>
  <c r="V22" i="71" s="1"/>
  <c r="P19" i="71"/>
  <c r="E20" i="71" s="1"/>
  <c r="O19" i="71"/>
  <c r="C20" i="71" s="1"/>
  <c r="N19" i="71"/>
  <c r="D19" i="71"/>
  <c r="O18" i="71"/>
  <c r="N18" i="71"/>
  <c r="X16" i="71" s="1"/>
  <c r="B20" i="71"/>
  <c r="B21" i="71" s="1"/>
  <c r="X19" i="71"/>
  <c r="B24" i="71"/>
  <c r="B25" i="71" s="1"/>
  <c r="X23" i="71"/>
  <c r="B28" i="71"/>
  <c r="B29" i="71"/>
  <c r="B30" i="71" s="1"/>
  <c r="S30" i="71" s="1"/>
  <c r="E28" i="71"/>
  <c r="E29" i="71" s="1"/>
  <c r="E30" i="71" s="1"/>
  <c r="U30" i="71" s="1"/>
  <c r="N58" i="71"/>
  <c r="E24" i="71"/>
  <c r="AA23" i="71"/>
  <c r="Y19" i="71"/>
  <c r="Z19" i="71" s="1"/>
  <c r="AA20" i="71"/>
  <c r="AA21" i="71"/>
  <c r="AA22" i="71"/>
  <c r="X24" i="71"/>
  <c r="X25" i="71"/>
  <c r="X26" i="71"/>
  <c r="C28" i="71"/>
  <c r="D28" i="71" s="1"/>
  <c r="X28" i="71"/>
  <c r="F41" i="71"/>
  <c r="F42" i="71" s="1"/>
  <c r="V42" i="71" s="1"/>
  <c r="C18" i="71"/>
  <c r="Y15" i="71"/>
  <c r="Z15" i="71" s="1"/>
  <c r="Y17" i="71"/>
  <c r="Z17" i="71" s="1"/>
  <c r="B18" i="71"/>
  <c r="B17" i="71" s="1"/>
  <c r="B16" i="71" s="1"/>
  <c r="X15" i="71"/>
  <c r="X17" i="71"/>
  <c r="C37" i="71"/>
  <c r="D37" i="71" s="1"/>
  <c r="P18" i="71"/>
  <c r="E18" i="71" s="1"/>
  <c r="E17" i="71" s="1"/>
  <c r="E16" i="71" s="1"/>
  <c r="E49" i="71"/>
  <c r="E50" i="71" s="1"/>
  <c r="U50" i="71" s="1"/>
  <c r="U58" i="71"/>
  <c r="E57" i="71"/>
  <c r="E56" i="71" s="1"/>
  <c r="Q18" i="71"/>
  <c r="F18" i="71" s="1"/>
  <c r="F17" i="71" s="1"/>
  <c r="F16" i="71" s="1"/>
  <c r="D44" i="71"/>
  <c r="C49" i="71"/>
  <c r="D49" i="71" s="1"/>
  <c r="D48" i="71"/>
  <c r="N57" i="71"/>
  <c r="B56" i="71"/>
  <c r="N55" i="71" s="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AB17" i="71"/>
  <c r="AA3" i="71"/>
  <c r="AA16" i="71"/>
  <c r="AA18" i="71"/>
  <c r="D18" i="71"/>
  <c r="C56" i="71"/>
  <c r="D56" i="71" s="1"/>
  <c r="D65" i="71"/>
  <c r="N56" i="71"/>
  <c r="D77" i="71"/>
  <c r="C76" i="71"/>
  <c r="D76" i="71" s="1"/>
  <c r="C60" i="71"/>
  <c r="D60" i="71" s="1"/>
  <c r="C50" i="71"/>
  <c r="T50" i="71" s="1"/>
  <c r="P57" i="71"/>
  <c r="C16" i="71"/>
  <c r="D16" i="71" s="1"/>
  <c r="D17" i="71"/>
  <c r="O55" i="71"/>
  <c r="D5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J21" i="21"/>
  <c r="W21" i="21" s="1"/>
  <c r="C40" i="69"/>
  <c r="F38" i="68"/>
  <c r="E37" i="68"/>
  <c r="F36" i="68"/>
  <c r="F35" i="68"/>
  <c r="F21" i="68"/>
  <c r="C21" i="68" s="1"/>
  <c r="F20" i="68"/>
  <c r="E10" i="68"/>
  <c r="E9" i="68"/>
  <c r="C7" i="68"/>
  <c r="C5" i="68" s="1"/>
  <c r="Q72" i="67"/>
  <c r="Q59" i="67"/>
  <c r="Q58" i="67"/>
  <c r="Q51" i="67"/>
  <c r="J50" i="67"/>
  <c r="M47" i="67"/>
  <c r="D46" i="67"/>
  <c r="F33" i="67"/>
  <c r="F61" i="67" s="1"/>
  <c r="F23" i="67"/>
  <c r="D24" i="67" s="1"/>
  <c r="F21" i="67"/>
  <c r="F20" i="67"/>
  <c r="M19" i="67"/>
  <c r="F18" i="67"/>
  <c r="F17" i="67"/>
  <c r="F15" i="67"/>
  <c r="D23"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W28" i="35"/>
  <c r="U31" i="35"/>
  <c r="S34" i="35"/>
  <c r="W34" i="35"/>
  <c r="W36" i="35"/>
  <c r="S31" i="35"/>
  <c r="F36" i="34"/>
  <c r="J35" i="34"/>
  <c r="U34" i="34"/>
  <c r="H39" i="33"/>
  <c r="AB39" i="33"/>
  <c r="F26" i="33"/>
  <c r="AA26" i="33"/>
  <c r="S9" i="33"/>
  <c r="U33" i="33"/>
  <c r="U35" i="33"/>
  <c r="S40" i="33"/>
  <c r="W39" i="33"/>
  <c r="H39" i="37"/>
  <c r="AB39" i="37"/>
  <c r="F11" i="40"/>
  <c r="AA11" i="40" s="1"/>
  <c r="H11" i="40"/>
  <c r="AB11" i="40" s="1"/>
  <c r="W8" i="40"/>
  <c r="AA9" i="40"/>
  <c r="AC9" i="40"/>
  <c r="U9" i="40"/>
  <c r="S34"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W13" i="36"/>
  <c r="W11" i="36"/>
  <c r="AB46" i="34"/>
  <c r="AA14" i="34"/>
  <c r="AB45" i="33"/>
  <c r="U31"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AZ577" i="3" s="1"/>
  <c r="BQ575" i="3"/>
  <c r="BL575" i="3" s="1"/>
  <c r="AZ575" i="3" s="1"/>
  <c r="BQ573" i="3"/>
  <c r="BL573" i="3"/>
  <c r="AZ573" i="3" s="1"/>
  <c r="BQ571" i="3"/>
  <c r="BL571" i="3" s="1"/>
  <c r="AZ571" i="3" s="1"/>
  <c r="BQ569" i="3"/>
  <c r="BL569" i="3" s="1"/>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c r="BQ541" i="3"/>
  <c r="BL541" i="3" s="1"/>
  <c r="BQ539" i="3"/>
  <c r="BL539" i="3" s="1"/>
  <c r="BQ537" i="3"/>
  <c r="BL537" i="3" s="1"/>
  <c r="AZ537" i="3" s="1"/>
  <c r="BQ535" i="3"/>
  <c r="BL535" i="3"/>
  <c r="BQ533" i="3"/>
  <c r="BL533" i="3" s="1"/>
  <c r="BQ531" i="3"/>
  <c r="BL531" i="3" s="1"/>
  <c r="BQ529" i="3"/>
  <c r="BL529" i="3" s="1"/>
  <c r="AZ529" i="3" s="1"/>
  <c r="BQ527" i="3"/>
  <c r="BL527" i="3"/>
  <c r="BQ525" i="3"/>
  <c r="BL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AC32" i="36"/>
  <c r="AC33" i="36"/>
  <c r="U35" i="35"/>
  <c r="AA12" i="35"/>
  <c r="W14" i="37"/>
  <c r="U33" i="37"/>
  <c r="U39" i="37"/>
  <c r="W26" i="37"/>
  <c r="AC8" i="37"/>
  <c r="U26" i="37"/>
  <c r="AB13" i="34"/>
  <c r="AB37" i="34"/>
  <c r="AA13" i="33"/>
  <c r="AC45" i="33"/>
  <c r="W44" i="33"/>
  <c r="U11" i="33"/>
  <c r="U19" i="21"/>
  <c r="W44" i="21"/>
  <c r="U26" i="21"/>
  <c r="AC46" i="21"/>
  <c r="U12" i="21"/>
  <c r="AB38" i="21"/>
  <c r="F43" i="33"/>
  <c r="AA43" i="33"/>
  <c r="W15" i="34"/>
  <c r="W16" i="35"/>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s="1"/>
  <c r="AZ24"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BL204" i="3"/>
  <c r="AZ204" i="3" s="1"/>
  <c r="AZ43" i="3"/>
  <c r="AZ47" i="3"/>
  <c r="AZ55" i="3"/>
  <c r="AZ59" i="3"/>
  <c r="AZ63" i="3"/>
  <c r="AZ71" i="3"/>
  <c r="AZ79" i="3"/>
  <c r="AZ136" i="3"/>
  <c r="AZ144" i="3"/>
  <c r="AZ152" i="3"/>
  <c r="AZ168" i="3"/>
  <c r="AZ176"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0" i="3"/>
  <c r="AZ158" i="3"/>
  <c r="AZ162" i="3"/>
  <c r="AZ166" i="3"/>
  <c r="AZ174" i="3"/>
  <c r="AZ186"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09" i="3"/>
  <c r="AZ214"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AZ273" i="3"/>
  <c r="BA379" i="3"/>
  <c r="BL380" i="3"/>
  <c r="G381" i="3"/>
  <c r="BA383" i="3"/>
  <c r="AZ383" i="3" s="1"/>
  <c r="BL384" i="3"/>
  <c r="G385" i="3"/>
  <c r="BA387" i="3"/>
  <c r="AZ387" i="3" s="1"/>
  <c r="BL388" i="3"/>
  <c r="G389" i="3"/>
  <c r="BA391" i="3"/>
  <c r="AZ391" i="3" s="1"/>
  <c r="BL392" i="3"/>
  <c r="G393" i="3"/>
  <c r="AZ263" i="3"/>
  <c r="AZ275" i="3"/>
  <c r="AZ287" i="3"/>
  <c r="AZ295" i="3"/>
  <c r="AZ299" i="3"/>
  <c r="BO5" i="3"/>
  <c r="BM5" i="3"/>
  <c r="F29" i="6" s="1"/>
  <c r="BJ5" i="3"/>
  <c r="BH5" i="3"/>
  <c r="BF5" i="3"/>
  <c r="BD5" i="3"/>
  <c r="AZ309" i="3"/>
  <c r="AZ317" i="3"/>
  <c r="AZ325" i="3"/>
  <c r="AZ333" i="3"/>
  <c r="AZ341" i="3"/>
  <c r="AC5" i="3"/>
  <c r="AZ506" i="3"/>
  <c r="AZ496" i="3"/>
  <c r="G548" i="3"/>
  <c r="G538" i="3"/>
  <c r="G520" i="3"/>
  <c r="G502" i="3"/>
  <c r="BS5" i="3"/>
  <c r="BP5" i="3"/>
  <c r="BN5" i="3"/>
  <c r="BK5" i="3"/>
  <c r="BI5" i="3"/>
  <c r="BG5" i="3"/>
  <c r="BE5" i="3"/>
  <c r="BC5" i="3"/>
  <c r="G17" i="3"/>
  <c r="BA17" i="3"/>
  <c r="BT5" i="3"/>
  <c r="AZ352" i="3"/>
  <c r="AZ356" i="3"/>
  <c r="AZ364" i="3"/>
  <c r="BA15" i="3"/>
  <c r="AZ15" i="3" s="1"/>
  <c r="BB5" i="3"/>
  <c r="E12" i="6" s="1"/>
  <c r="BR5" i="3"/>
  <c r="G28" i="6" s="1"/>
  <c r="AZ380" i="3"/>
  <c r="AZ384" i="3"/>
  <c r="AZ388" i="3"/>
  <c r="AZ392" i="3"/>
  <c r="E8" i="6"/>
  <c r="F27" i="6" s="1"/>
  <c r="BL493"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J37" i="33"/>
  <c r="W37" i="33" s="1"/>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7" i="3"/>
  <c r="AZ232" i="3"/>
  <c r="AZ243" i="3"/>
  <c r="AZ248" i="3"/>
  <c r="AZ259" i="3"/>
  <c r="AZ271" i="3"/>
  <c r="AZ296" i="3"/>
  <c r="AZ117" i="3"/>
  <c r="AZ133" i="3"/>
  <c r="AZ21" i="3"/>
  <c r="AZ29" i="3"/>
  <c r="AZ42" i="3"/>
  <c r="AZ45" i="3"/>
  <c r="AZ58" i="3"/>
  <c r="AZ61" i="3"/>
  <c r="AZ72" i="3"/>
  <c r="AZ74" i="3"/>
  <c r="AZ77"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2" i="43"/>
  <c r="K9" i="1"/>
  <c r="M9" i="1" s="1"/>
  <c r="AE9" i="1"/>
  <c r="D93" i="9"/>
  <c r="K6" i="1"/>
  <c r="G29" i="6"/>
  <c r="AC26" i="33"/>
  <c r="W26" i="33"/>
  <c r="AC27" i="34"/>
  <c r="AB34" i="36"/>
  <c r="U34" i="36"/>
  <c r="AB33" i="36"/>
  <c r="U33" i="36"/>
  <c r="AC12" i="39"/>
  <c r="W12" i="39"/>
  <c r="AZ401" i="3"/>
  <c r="AZ412" i="3"/>
  <c r="AZ417" i="3"/>
  <c r="AZ428" i="3"/>
  <c r="AZ433" i="3"/>
  <c r="AZ465" i="3"/>
  <c r="W12" i="33"/>
  <c r="AC12" i="33"/>
  <c r="AA32" i="36"/>
  <c r="S32" i="36"/>
  <c r="AZ457" i="3"/>
  <c r="AZ473" i="3"/>
  <c r="AZ490" i="3"/>
  <c r="BL14" i="3"/>
  <c r="U30" i="33"/>
  <c r="AC13" i="34"/>
  <c r="AA47" i="34"/>
  <c r="W28" i="37"/>
  <c r="S19" i="39"/>
  <c r="F12" i="33"/>
  <c r="H12" i="39"/>
  <c r="AB12" i="39" s="1"/>
  <c r="F39" i="40"/>
  <c r="BA14" i="3"/>
  <c r="AZ367" i="3"/>
  <c r="AZ234" i="3"/>
  <c r="AZ250" i="3"/>
  <c r="AZ297" i="3"/>
  <c r="AZ157" i="3"/>
  <c r="AZ173" i="3"/>
  <c r="AZ181" i="3"/>
  <c r="AZ197" i="3"/>
  <c r="AZ19" i="3"/>
  <c r="AZ41" i="3"/>
  <c r="S12" i="1"/>
  <c r="R12" i="1"/>
  <c r="B12" i="1"/>
  <c r="E12" i="1"/>
  <c r="S10" i="1"/>
  <c r="AQ10" i="1" s="1"/>
  <c r="R10" i="1"/>
  <c r="B10" i="1"/>
  <c r="E10" i="1" s="1"/>
  <c r="D1" i="66"/>
  <c r="E10" i="66" s="1"/>
  <c r="K12" i="1"/>
  <c r="M12" i="1" s="1"/>
  <c r="O12" i="1" s="1"/>
  <c r="P12" i="1" s="1"/>
  <c r="S13" i="1"/>
  <c r="AR13" i="1" s="1"/>
  <c r="R13" i="1"/>
  <c r="S11" i="1"/>
  <c r="AQ11" i="1" s="1"/>
  <c r="R11" i="1"/>
  <c r="S9" i="1"/>
  <c r="AR9" i="1" s="1"/>
  <c r="R9" i="1"/>
  <c r="J51" i="67"/>
  <c r="C42" i="1"/>
  <c r="C30" i="69" s="1"/>
  <c r="H100" i="43"/>
  <c r="C30" i="66"/>
  <c r="E26" i="66" s="1"/>
  <c r="AC34" i="33"/>
  <c r="AA34" i="33"/>
  <c r="B41" i="1"/>
  <c r="F48" i="9" s="1"/>
  <c r="O52" i="9" s="1"/>
  <c r="F53" i="9"/>
  <c r="J100" i="43"/>
  <c r="AB37" i="40"/>
  <c r="S35" i="40"/>
  <c r="U35" i="40"/>
  <c r="AC36" i="40"/>
  <c r="AA32" i="40"/>
  <c r="S17" i="40"/>
  <c r="S23" i="40"/>
  <c r="AC17" i="40"/>
  <c r="AC15" i="40"/>
  <c r="AB27" i="40"/>
  <c r="S30" i="40"/>
  <c r="S28" i="40"/>
  <c r="AA27" i="40"/>
  <c r="U21" i="40"/>
  <c r="W42" i="39"/>
  <c r="U37" i="39"/>
  <c r="W39" i="39"/>
  <c r="S43" i="39"/>
  <c r="S37" i="39"/>
  <c r="U35" i="39"/>
  <c r="F32" i="39"/>
  <c r="AA32" i="39" s="1"/>
  <c r="F107" i="39"/>
  <c r="G107" i="39"/>
  <c r="AB27" i="39"/>
  <c r="U31" i="39"/>
  <c r="S25" i="39"/>
  <c r="J21" i="39"/>
  <c r="F21" i="39"/>
  <c r="AA21" i="39" s="1"/>
  <c r="G95" i="39"/>
  <c r="H21" i="39"/>
  <c r="AB21" i="39" s="1"/>
  <c r="W19" i="39"/>
  <c r="U19" i="39"/>
  <c r="S17" i="39"/>
  <c r="AC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W25" i="34"/>
  <c r="AB8" i="34"/>
  <c r="AA33" i="34"/>
  <c r="U44" i="34"/>
  <c r="U43" i="34"/>
  <c r="AC39" i="34"/>
  <c r="W41" i="34"/>
  <c r="AC42" i="34"/>
  <c r="AB35" i="34"/>
  <c r="U39" i="34"/>
  <c r="AB41" i="34"/>
  <c r="AA45" i="34"/>
  <c r="W34" i="34"/>
  <c r="U28" i="34"/>
  <c r="AA29" i="34"/>
  <c r="S23"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W35" i="33" s="1"/>
  <c r="S37" i="33"/>
  <c r="AA37" i="33"/>
  <c r="S39" i="33"/>
  <c r="J32" i="33"/>
  <c r="W32" i="33" s="1"/>
  <c r="S46" i="33"/>
  <c r="W43" i="33"/>
  <c r="S43" i="33"/>
  <c r="F91" i="33"/>
  <c r="H27" i="33"/>
  <c r="H25" i="33"/>
  <c r="F25" i="33"/>
  <c r="AA25" i="33" s="1"/>
  <c r="J23" i="33"/>
  <c r="H23" i="33"/>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58" i="21" s="1"/>
  <c r="D58" i="21" s="1"/>
  <c r="E58" i="21" s="1"/>
  <c r="F58" i="21" s="1"/>
  <c r="C7" i="40"/>
  <c r="C63" i="40" s="1"/>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M6" i="1"/>
  <c r="O6" i="1" s="1"/>
  <c r="P6" i="1" s="1"/>
  <c r="F30" i="68"/>
  <c r="C48" i="68" s="1"/>
  <c r="F30" i="11"/>
  <c r="C48" i="11"/>
  <c r="F28" i="67"/>
  <c r="F31" i="12"/>
  <c r="F52" i="9"/>
  <c r="M18" i="67"/>
  <c r="F32" i="67"/>
  <c r="F60" i="67"/>
  <c r="F30" i="69"/>
  <c r="C48" i="69"/>
  <c r="F32" i="15"/>
  <c r="F60" i="15"/>
  <c r="M18" i="15"/>
  <c r="F28" i="15"/>
  <c r="T11" i="1"/>
  <c r="D9" i="69"/>
  <c r="C9" i="69" s="1"/>
  <c r="AQ9" i="1"/>
  <c r="AR11" i="1"/>
  <c r="E59" i="40"/>
  <c r="C28" i="15"/>
  <c r="T9" i="1"/>
  <c r="T13" i="1"/>
  <c r="S7" i="1"/>
  <c r="AQ7" i="1" s="1"/>
  <c r="E7" i="70"/>
  <c r="AA39" i="40"/>
  <c r="S39" i="40"/>
  <c r="S12" i="33"/>
  <c r="AA12" i="33"/>
  <c r="D68" i="9"/>
  <c r="F54" i="9"/>
  <c r="J32" i="39"/>
  <c r="H107" i="39"/>
  <c r="I107" i="39" s="1"/>
  <c r="J107" i="39" s="1"/>
  <c r="K107" i="39" s="1"/>
  <c r="L107" i="39" s="1"/>
  <c r="M107" i="39" s="1"/>
  <c r="H32" i="39"/>
  <c r="AB32" i="39" s="1"/>
  <c r="S32" i="39"/>
  <c r="U21" i="39"/>
  <c r="S21" i="39"/>
  <c r="AC21" i="39"/>
  <c r="W21" i="39"/>
  <c r="U9" i="35"/>
  <c r="AB9" i="35"/>
  <c r="AA9" i="35"/>
  <c r="AC26" i="35"/>
  <c r="AB26" i="35"/>
  <c r="U26" i="35"/>
  <c r="AC17" i="37"/>
  <c r="S17" i="37"/>
  <c r="J19" i="37"/>
  <c r="AC19" i="37" s="1"/>
  <c r="S19" i="37"/>
  <c r="AA19" i="37"/>
  <c r="AA23" i="37"/>
  <c r="J23" i="37"/>
  <c r="G79" i="37"/>
  <c r="J10" i="37"/>
  <c r="I60" i="37"/>
  <c r="H11" i="37"/>
  <c r="U11" i="37" s="1"/>
  <c r="U10" i="37"/>
  <c r="G70" i="34"/>
  <c r="H11" i="34"/>
  <c r="U11" i="34" s="1"/>
  <c r="AB10" i="34"/>
  <c r="U10" i="34"/>
  <c r="J10" i="34"/>
  <c r="I67" i="34"/>
  <c r="AB41" i="33"/>
  <c r="U41" i="33"/>
  <c r="AC35" i="33"/>
  <c r="J36" i="33"/>
  <c r="AC36" i="33" s="1"/>
  <c r="H36" i="33"/>
  <c r="S36" i="33"/>
  <c r="AA36" i="33"/>
  <c r="AC32" i="33"/>
  <c r="U27" i="33"/>
  <c r="AB27" i="33"/>
  <c r="G91" i="33"/>
  <c r="H91" i="33" s="1"/>
  <c r="I91" i="33" s="1"/>
  <c r="J91" i="33" s="1"/>
  <c r="K91" i="33" s="1"/>
  <c r="L91" i="33" s="1"/>
  <c r="M91" i="33" s="1"/>
  <c r="J27" i="33"/>
  <c r="U25" i="33"/>
  <c r="AB25" i="33"/>
  <c r="S25" i="33"/>
  <c r="J25" i="33"/>
  <c r="AB23" i="33"/>
  <c r="U23" i="33"/>
  <c r="F23" i="33"/>
  <c r="AA23" i="33" s="1"/>
  <c r="AC23" i="33"/>
  <c r="W23" i="33"/>
  <c r="AA19" i="33"/>
  <c r="H19" i="33"/>
  <c r="H17" i="33"/>
  <c r="U17" i="33" s="1"/>
  <c r="F17" i="33"/>
  <c r="W17" i="33"/>
  <c r="AC17" i="33"/>
  <c r="U10" i="33"/>
  <c r="AC10" i="33"/>
  <c r="W10" i="33"/>
  <c r="AC37" i="21"/>
  <c r="S37" i="21"/>
  <c r="AA23" i="21"/>
  <c r="AB15" i="21"/>
  <c r="J23" i="21"/>
  <c r="F85" i="21"/>
  <c r="G85" i="21" s="1"/>
  <c r="H23" i="21"/>
  <c r="U23" i="21" s="1"/>
  <c r="S13" i="21"/>
  <c r="D6" i="52"/>
  <c r="D121" i="9"/>
  <c r="D7" i="52" s="1"/>
  <c r="K120" i="9"/>
  <c r="A18" i="62" s="1"/>
  <c r="B64" i="72" s="1"/>
  <c r="B5" i="62"/>
  <c r="B73" i="72" s="1"/>
  <c r="AP7" i="1"/>
  <c r="AB45" i="21"/>
  <c r="AC33" i="21"/>
  <c r="W33" i="21"/>
  <c r="AA33" i="21"/>
  <c r="AC32" i="21"/>
  <c r="U9" i="21"/>
  <c r="AA32" i="21"/>
  <c r="S32" i="21"/>
  <c r="W9" i="21"/>
  <c r="AC9" i="21"/>
  <c r="AB32" i="21"/>
  <c r="U32" i="21"/>
  <c r="S10" i="21"/>
  <c r="C30" i="11"/>
  <c r="U32" i="39"/>
  <c r="AC32" i="39"/>
  <c r="W32" i="39"/>
  <c r="W19" i="37"/>
  <c r="W23" i="37"/>
  <c r="AC23" i="37"/>
  <c r="AB11" i="37"/>
  <c r="J11" i="37"/>
  <c r="W11" i="37" s="1"/>
  <c r="W10" i="37"/>
  <c r="AC10" i="37"/>
  <c r="AC10" i="34"/>
  <c r="W10" i="34"/>
  <c r="H70" i="34"/>
  <c r="I70" i="34" s="1"/>
  <c r="J70" i="34" s="1"/>
  <c r="K70" i="34" s="1"/>
  <c r="L70" i="34" s="1"/>
  <c r="M70" i="34" s="1"/>
  <c r="J11" i="34"/>
  <c r="AC11" i="34" s="1"/>
  <c r="W36" i="33"/>
  <c r="U36" i="33"/>
  <c r="AB36" i="33"/>
  <c r="W27" i="33"/>
  <c r="AC27" i="33"/>
  <c r="W25" i="33"/>
  <c r="AC25" i="33"/>
  <c r="S23" i="33"/>
  <c r="AB19" i="33"/>
  <c r="U19" i="33"/>
  <c r="AA17" i="33"/>
  <c r="S17" i="33"/>
  <c r="AB23" i="21"/>
  <c r="AC23" i="21"/>
  <c r="W23" i="21"/>
  <c r="AC11" i="37"/>
  <c r="W11" i="34"/>
  <c r="R7" i="1"/>
  <c r="F34" i="11"/>
  <c r="C36" i="11" s="1"/>
  <c r="F11" i="12"/>
  <c r="C23" i="12" s="1"/>
  <c r="F34" i="68"/>
  <c r="R8" i="1"/>
  <c r="AE7" i="1"/>
  <c r="AE8" i="1"/>
  <c r="AG6" i="1"/>
  <c r="H112" i="9"/>
  <c r="D21" i="53" s="1"/>
  <c r="B39" i="72" s="1"/>
  <c r="H111" i="9"/>
  <c r="D126" i="9" s="1"/>
  <c r="D19" i="53"/>
  <c r="D20" i="53" s="1"/>
  <c r="B40" i="72" s="1"/>
  <c r="D59" i="9"/>
  <c r="M55" i="9" s="1"/>
  <c r="AD3" i="71"/>
  <c r="B4" i="62"/>
  <c r="B71" i="72" s="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D68" i="39"/>
  <c r="E68" i="39" s="1"/>
  <c r="F48" i="35"/>
  <c r="G48" i="35" s="1"/>
  <c r="C24" i="12"/>
  <c r="AB12" i="71"/>
  <c r="X10" i="71"/>
  <c r="X9" i="71"/>
  <c r="AA10" i="71"/>
  <c r="AA9" i="71"/>
  <c r="X13" i="71"/>
  <c r="Y9" i="71"/>
  <c r="Z9" i="71" s="1"/>
  <c r="AB10" i="71"/>
  <c r="AB9" i="71"/>
  <c r="F11" i="71"/>
  <c r="F10" i="71" s="1"/>
  <c r="F9" i="71" s="1"/>
  <c r="F8" i="71" s="1"/>
  <c r="F7" i="71" s="1"/>
  <c r="Y10" i="71"/>
  <c r="Z10" i="71" s="1"/>
  <c r="X3" i="71"/>
  <c r="E6" i="49"/>
  <c r="G20" i="43"/>
  <c r="D70" i="39"/>
  <c r="E41" i="43"/>
  <c r="C41" i="43"/>
  <c r="C20" i="43"/>
  <c r="D5" i="73"/>
  <c r="L48" i="67"/>
  <c r="F3" i="73"/>
  <c r="M6" i="15"/>
  <c r="J15" i="15"/>
  <c r="F42" i="67"/>
  <c r="F36" i="15"/>
  <c r="E8" i="76"/>
  <c r="E2" i="69"/>
  <c r="M26" i="67"/>
  <c r="L47" i="67"/>
  <c r="F41" i="15"/>
  <c r="M29" i="15"/>
  <c r="M22" i="67"/>
  <c r="B8" i="76"/>
  <c r="M26" i="15"/>
  <c r="F8" i="15"/>
  <c r="B12" i="76"/>
  <c r="M27" i="67"/>
  <c r="F6" i="73"/>
  <c r="F16" i="67"/>
  <c r="M9" i="67"/>
  <c r="C76" i="67"/>
  <c r="F43" i="67"/>
  <c r="AO12" i="1"/>
  <c r="E9" i="76"/>
  <c r="AO7" i="1"/>
  <c r="AO11" i="1"/>
  <c r="B7" i="76"/>
  <c r="B13" i="76"/>
  <c r="F20" i="31"/>
  <c r="D2" i="34"/>
  <c r="D2" i="21"/>
  <c r="E2" i="68"/>
  <c r="F7" i="73"/>
  <c r="B10" i="76"/>
  <c r="D2" i="33"/>
  <c r="E10" i="76"/>
  <c r="AO10" i="1"/>
  <c r="E11" i="76"/>
  <c r="D2" i="35"/>
  <c r="D2" i="36"/>
  <c r="E13" i="76"/>
  <c r="M21" i="15"/>
  <c r="F9" i="15"/>
  <c r="M8" i="67"/>
  <c r="F43" i="15"/>
  <c r="AO13" i="1"/>
  <c r="B11" i="76"/>
  <c r="M28" i="67"/>
  <c r="D2" i="37"/>
  <c r="F5" i="73"/>
  <c r="F9" i="67"/>
  <c r="M24" i="15"/>
  <c r="AO9" i="1"/>
  <c r="M24" i="67"/>
  <c r="B9" i="76"/>
  <c r="F4" i="73"/>
  <c r="E12" i="76"/>
  <c r="M29" i="67"/>
  <c r="F35" i="15"/>
  <c r="M8" i="15"/>
  <c r="M23" i="15"/>
  <c r="AO8" i="1"/>
  <c r="L47" i="15"/>
  <c r="M27" i="15"/>
  <c r="E7" i="76"/>
  <c r="L48" i="15"/>
  <c r="F38" i="15"/>
  <c r="M6" i="67"/>
  <c r="D6" i="73"/>
  <c r="S9" i="21" l="1"/>
  <c r="AA9" i="21"/>
  <c r="AB36" i="35"/>
  <c r="U36" i="35"/>
  <c r="W40" i="40"/>
  <c r="AC40" i="40"/>
  <c r="U31" i="21"/>
  <c r="AB31" i="21"/>
  <c r="W12" i="34"/>
  <c r="AC12" i="34"/>
  <c r="B38" i="72"/>
  <c r="AB17" i="33"/>
  <c r="C30" i="68"/>
  <c r="U33" i="21"/>
  <c r="S26" i="35"/>
  <c r="K4" i="4"/>
  <c r="B46" i="48" s="1"/>
  <c r="B4" i="72" s="1"/>
  <c r="AB33" i="34"/>
  <c r="C7" i="43"/>
  <c r="AZ13" i="3"/>
  <c r="AA35" i="33"/>
  <c r="S43" i="34"/>
  <c r="S20" i="35"/>
  <c r="AB27" i="36"/>
  <c r="U12" i="39"/>
  <c r="S15" i="39"/>
  <c r="U25" i="39"/>
  <c r="AB19" i="40"/>
  <c r="AA19" i="40"/>
  <c r="H87" i="43"/>
  <c r="H86" i="43"/>
  <c r="AA12" i="40"/>
  <c r="BQ5" i="3"/>
  <c r="F28" i="6" s="1"/>
  <c r="F30" i="6" s="1"/>
  <c r="AZ379" i="3"/>
  <c r="AZ345" i="3"/>
  <c r="AZ318" i="3"/>
  <c r="AZ372" i="3"/>
  <c r="AZ337" i="3"/>
  <c r="AZ320" i="3"/>
  <c r="AZ305" i="3"/>
  <c r="AZ362" i="3"/>
  <c r="W14" i="39"/>
  <c r="AC13" i="40"/>
  <c r="W40" i="37"/>
  <c r="AC31" i="33"/>
  <c r="AC36" i="34"/>
  <c r="W37" i="34"/>
  <c r="W47" i="34"/>
  <c r="AB28" i="37"/>
  <c r="U14" i="40"/>
  <c r="AA41" i="34"/>
  <c r="AC28" i="34"/>
  <c r="AZ497" i="3"/>
  <c r="AZ501" i="3"/>
  <c r="AZ525" i="3"/>
  <c r="AZ533" i="3"/>
  <c r="AZ541" i="3"/>
  <c r="AZ555" i="3"/>
  <c r="AZ503" i="3"/>
  <c r="AZ507" i="3"/>
  <c r="AZ523" i="3"/>
  <c r="AZ527" i="3"/>
  <c r="AZ531" i="3"/>
  <c r="AZ535" i="3"/>
  <c r="AZ539" i="3"/>
  <c r="AZ543" i="3"/>
  <c r="AZ547" i="3"/>
  <c r="AZ553" i="3"/>
  <c r="AZ559" i="3"/>
  <c r="AZ568" i="3"/>
  <c r="AZ576" i="3"/>
  <c r="AC28" i="21"/>
  <c r="W29" i="33"/>
  <c r="S45" i="33"/>
  <c r="AC30" i="34"/>
  <c r="W11" i="35"/>
  <c r="S11" i="36"/>
  <c r="AB11" i="35"/>
  <c r="U30" i="35"/>
  <c r="AA39" i="37"/>
  <c r="AA12" i="34"/>
  <c r="C15" i="39"/>
  <c r="C27" i="39"/>
  <c r="S34" i="21"/>
  <c r="S40" i="21"/>
  <c r="S27" i="35"/>
  <c r="W33" i="33"/>
  <c r="U34" i="35"/>
  <c r="W22" i="35"/>
  <c r="AC27" i="35"/>
  <c r="BL586" i="3"/>
  <c r="AZ586" i="3" s="1"/>
  <c r="H12" i="34"/>
  <c r="F40" i="40"/>
  <c r="BL548" i="3"/>
  <c r="E29" i="6"/>
  <c r="K15" i="1" s="1"/>
  <c r="AZ548" i="3"/>
  <c r="H44" i="39"/>
  <c r="F44" i="39"/>
  <c r="G570" i="3"/>
  <c r="G556" i="3"/>
  <c r="BA550" i="3"/>
  <c r="C5" i="11"/>
  <c r="A15" i="62"/>
  <c r="B61" i="72" s="1"/>
  <c r="G400" i="3"/>
  <c r="BL400" i="3"/>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G366" i="3"/>
  <c r="G380" i="3"/>
  <c r="G384" i="3"/>
  <c r="AZ208" i="3"/>
  <c r="BL217" i="3"/>
  <c r="G220" i="3"/>
  <c r="AZ400" i="3"/>
  <c r="AZ402" i="3"/>
  <c r="AZ406" i="3"/>
  <c r="AZ419" i="3"/>
  <c r="AZ435" i="3"/>
  <c r="AZ451" i="3"/>
  <c r="AZ458" i="3"/>
  <c r="AZ462" i="3"/>
  <c r="AZ466" i="3"/>
  <c r="AZ469" i="3"/>
  <c r="AZ472" i="3"/>
  <c r="AZ489" i="3"/>
  <c r="AZ332" i="3"/>
  <c r="BL368" i="3"/>
  <c r="AZ368" i="3" s="1"/>
  <c r="BL385" i="3"/>
  <c r="AZ385" i="3" s="1"/>
  <c r="G387" i="3"/>
  <c r="BA395" i="3"/>
  <c r="AZ395" i="3" s="1"/>
  <c r="BA396" i="3"/>
  <c r="AZ396" i="3" s="1"/>
  <c r="G210" i="3"/>
  <c r="BL210" i="3"/>
  <c r="BA211" i="3"/>
  <c r="AZ211" i="3" s="1"/>
  <c r="BL213" i="3"/>
  <c r="AZ213" i="3" s="1"/>
  <c r="AZ216"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AZ270" i="3"/>
  <c r="AZ274" i="3"/>
  <c r="AZ277" i="3"/>
  <c r="AZ298" i="3"/>
  <c r="AZ301" i="3"/>
  <c r="AZ12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BA202" i="3"/>
  <c r="AZ202" i="3" s="1"/>
  <c r="BL203" i="3"/>
  <c r="AZ203" i="3" s="1"/>
  <c r="BL206" i="3"/>
  <c r="AZ206" i="3" s="1"/>
  <c r="G18" i="3"/>
  <c r="BL18" i="3"/>
  <c r="BL20" i="3"/>
  <c r="AZ20" i="3" s="1"/>
  <c r="G23" i="3"/>
  <c r="BL23" i="3"/>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P55" i="71"/>
  <c r="P56" i="71"/>
  <c r="C25" i="71"/>
  <c r="D24" i="71"/>
  <c r="E13" i="71"/>
  <c r="E12" i="71" s="1"/>
  <c r="E11" i="71" s="1"/>
  <c r="E10" i="71" s="1"/>
  <c r="V14" i="71"/>
  <c r="AZ23" i="3"/>
  <c r="AZ64" i="3"/>
  <c r="D20" i="71"/>
  <c r="C21" i="71"/>
  <c r="D32" i="71"/>
  <c r="C33" i="71"/>
  <c r="D40" i="71"/>
  <c r="C41" i="71"/>
  <c r="C53" i="71"/>
  <c r="D52" i="7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100" i="43"/>
  <c r="I100" i="43"/>
  <c r="E100" i="43"/>
  <c r="D100" i="43"/>
  <c r="D22" i="67"/>
  <c r="AC21" i="21"/>
  <c r="U21" i="21"/>
  <c r="B55" i="43"/>
  <c r="AB21" i="33"/>
  <c r="P27" i="6"/>
  <c r="O56" i="71"/>
  <c r="D69" i="71"/>
  <c r="C72" i="71"/>
  <c r="D72" i="71" s="1"/>
  <c r="D57" i="71"/>
  <c r="U18" i="71"/>
  <c r="AA17" i="71"/>
  <c r="AA15" i="71"/>
  <c r="AB15" i="71"/>
  <c r="C29" i="71"/>
  <c r="X18" i="71"/>
  <c r="Y18" i="71"/>
  <c r="Z18" i="71" s="1"/>
  <c r="Y16" i="71"/>
  <c r="Z16" i="71" s="1"/>
  <c r="AA28" i="71"/>
  <c r="AB27" i="71"/>
  <c r="AB23" i="71"/>
  <c r="Y23" i="71"/>
  <c r="Z23" i="71" s="1"/>
  <c r="AB19" i="71"/>
  <c r="E25" i="71"/>
  <c r="E26" i="71" s="1"/>
  <c r="U26" i="71" s="1"/>
  <c r="X27" i="71"/>
  <c r="B26" i="71"/>
  <c r="S26" i="71" s="1"/>
  <c r="B22" i="71"/>
  <c r="S22" i="71" s="1"/>
  <c r="E21" i="71"/>
  <c r="E22" i="71" s="1"/>
  <c r="U22" i="71" s="1"/>
  <c r="X20" i="71"/>
  <c r="AB20" i="71"/>
  <c r="Y21" i="71"/>
  <c r="Z21" i="71" s="1"/>
  <c r="AB22" i="71"/>
  <c r="AB24" i="71"/>
  <c r="Y25" i="71"/>
  <c r="Z25" i="71" s="1"/>
  <c r="AB26" i="71"/>
  <c r="C45" i="71"/>
  <c r="AE10" i="43"/>
  <c r="M56" i="9"/>
  <c r="M56" i="77"/>
  <c r="J56" i="77"/>
  <c r="J57" i="77" s="1"/>
  <c r="J59" i="77" s="1"/>
  <c r="J61" i="77" s="1"/>
  <c r="N56" i="77"/>
  <c r="K56" i="77"/>
  <c r="D9" i="53"/>
  <c r="B25" i="72" s="1"/>
  <c r="B24" i="72"/>
  <c r="AZ14" i="3"/>
  <c r="G14" i="3"/>
  <c r="D9" i="68"/>
  <c r="C9" i="68" s="1"/>
  <c r="S27" i="34"/>
  <c r="T8" i="1"/>
  <c r="AR8" i="1"/>
  <c r="D19" i="12"/>
  <c r="C19" i="12" s="1"/>
  <c r="E13" i="6"/>
  <c r="E15" i="6"/>
  <c r="B6" i="49"/>
  <c r="E57" i="40"/>
  <c r="E62" i="39"/>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AG11" i="43"/>
  <c r="AC11" i="43"/>
  <c r="Y11" i="43"/>
  <c r="Y13" i="43" s="1"/>
  <c r="B113" i="43"/>
  <c r="F101" i="43"/>
  <c r="E22" i="43"/>
  <c r="C101" i="43"/>
  <c r="N104" i="46"/>
  <c r="L101" i="43"/>
  <c r="D101" i="43"/>
  <c r="M101" i="43"/>
  <c r="I101" i="43"/>
  <c r="E101" i="43"/>
  <c r="AJ11" i="43"/>
  <c r="AJ13" i="43" s="1"/>
  <c r="AF11" i="43"/>
  <c r="AF13" i="43" s="1"/>
  <c r="AB11" i="43"/>
  <c r="AB13" i="43" s="1"/>
  <c r="Z7" i="43"/>
  <c r="AI11" i="43"/>
  <c r="AI13" i="43" s="1"/>
  <c r="AE11" i="43"/>
  <c r="AE13" i="43" s="1"/>
  <c r="AA11" i="43"/>
  <c r="AA13" i="43" s="1"/>
  <c r="E56" i="40"/>
  <c r="Q16" i="1"/>
  <c r="F27" i="68" s="1"/>
  <c r="AR7" i="1"/>
  <c r="T7" i="1"/>
  <c r="F31" i="6"/>
  <c r="G16" i="1"/>
  <c r="F10" i="39" s="1"/>
  <c r="A118" i="77"/>
  <c r="A2" i="77"/>
  <c r="F68" i="39"/>
  <c r="E70" i="39"/>
  <c r="D63" i="40"/>
  <c r="C65" i="40"/>
  <c r="D58" i="33"/>
  <c r="E58" i="33" s="1"/>
  <c r="F58" i="33" s="1"/>
  <c r="G58" i="33" s="1"/>
  <c r="H58" i="33" s="1"/>
  <c r="I58" i="33" s="1"/>
  <c r="J58" i="33" s="1"/>
  <c r="K58" i="33" s="1"/>
  <c r="L58" i="33" s="1"/>
  <c r="M58" i="33" s="1"/>
  <c r="N58" i="33" s="1"/>
  <c r="O58" i="33" s="1"/>
  <c r="H7" i="33"/>
  <c r="C77" i="77"/>
  <c r="C74" i="77" s="1"/>
  <c r="K59" i="34"/>
  <c r="L59" i="34" s="1"/>
  <c r="M59" i="34" s="1"/>
  <c r="N59" i="34" s="1"/>
  <c r="O59" i="34" s="1"/>
  <c r="H7" i="34"/>
  <c r="D5" i="43"/>
  <c r="C5" i="43"/>
  <c r="T14" i="43" s="1"/>
  <c r="V14" i="43" s="1"/>
  <c r="G58" i="21"/>
  <c r="H58" i="21" s="1"/>
  <c r="I58" i="21" s="1"/>
  <c r="J58" i="21" s="1"/>
  <c r="K58" i="21" s="1"/>
  <c r="L58" i="21" s="1"/>
  <c r="M58" i="21" s="1"/>
  <c r="N58" i="21" s="1"/>
  <c r="O58" i="21" s="1"/>
  <c r="E9" i="71"/>
  <c r="E8" i="71" s="1"/>
  <c r="E7" i="71" s="1"/>
  <c r="E6" i="71" s="1"/>
  <c r="V10" i="71"/>
  <c r="J7" i="21"/>
  <c r="F46" i="36"/>
  <c r="H48" i="35"/>
  <c r="I52" i="37"/>
  <c r="I14" i="74"/>
  <c r="B8" i="74" s="1"/>
  <c r="D127" i="9"/>
  <c r="D13" i="52" s="1"/>
  <c r="D12" i="52"/>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Z5" i="71" s="1"/>
  <c r="AA6" i="71"/>
  <c r="AB3" i="71"/>
  <c r="E22" i="49"/>
  <c r="E21" i="49"/>
  <c r="C35" i="43"/>
  <c r="E35" i="43" s="1"/>
  <c r="B14" i="49"/>
  <c r="B9" i="49"/>
  <c r="E11" i="49"/>
  <c r="B11" i="49"/>
  <c r="C36" i="43"/>
  <c r="E36" i="43" s="1"/>
  <c r="E4" i="49"/>
  <c r="B13" i="49"/>
  <c r="E7" i="49"/>
  <c r="C39" i="43"/>
  <c r="C37" i="43"/>
  <c r="E37" i="43" s="1"/>
  <c r="X6" i="71"/>
  <c r="AB6" i="71"/>
  <c r="T15" i="43"/>
  <c r="V15" i="43" s="1"/>
  <c r="Y3" i="71"/>
  <c r="Z3" i="71" s="1"/>
  <c r="F6" i="71"/>
  <c r="F5" i="71" s="1"/>
  <c r="AF3" i="71"/>
  <c r="P22" i="43" s="1"/>
  <c r="P24" i="43"/>
  <c r="B66" i="40" s="1"/>
  <c r="C34" i="43"/>
  <c r="T10" i="43"/>
  <c r="V10" i="43" s="1"/>
  <c r="C33" i="43"/>
  <c r="T13" i="43"/>
  <c r="V13" i="43" s="1"/>
  <c r="C38" i="43"/>
  <c r="G36" i="43"/>
  <c r="I36" i="43" s="1"/>
  <c r="C36" i="68"/>
  <c r="B10" i="70"/>
  <c r="C34" i="15"/>
  <c r="F63" i="15"/>
  <c r="J53" i="15"/>
  <c r="L56" i="15" s="1"/>
  <c r="J57" i="15"/>
  <c r="J55" i="15" s="1"/>
  <c r="J58" i="15" s="1"/>
  <c r="Q50" i="15" s="1"/>
  <c r="I54" i="15"/>
  <c r="K1" i="73"/>
  <c r="I1" i="73"/>
  <c r="B39" i="1" s="1"/>
  <c r="B12" i="70"/>
  <c r="J53" i="67"/>
  <c r="J57" i="67"/>
  <c r="J55" i="67" s="1"/>
  <c r="J58" i="67" s="1"/>
  <c r="Q50" i="67" s="1"/>
  <c r="L56" i="67"/>
  <c r="I54" i="67"/>
  <c r="F69" i="15"/>
  <c r="F51" i="15"/>
  <c r="F71" i="15"/>
  <c r="B7" i="70"/>
  <c r="B11" i="70"/>
  <c r="L59" i="15"/>
  <c r="N59" i="15"/>
  <c r="L58" i="15"/>
  <c r="M59" i="15"/>
  <c r="B8" i="70"/>
  <c r="F66" i="15"/>
  <c r="Q71" i="67"/>
  <c r="F64" i="15"/>
  <c r="F70" i="67"/>
  <c r="F71" i="67"/>
  <c r="B9" i="70"/>
  <c r="N59" i="67"/>
  <c r="L59" i="67"/>
  <c r="L58" i="67"/>
  <c r="M59" i="67"/>
  <c r="B13" i="70"/>
  <c r="J20" i="15"/>
  <c r="F31" i="67"/>
  <c r="M17" i="67"/>
  <c r="F59" i="15"/>
  <c r="F59" i="67"/>
  <c r="M17" i="15"/>
  <c r="F31" i="15"/>
  <c r="F13" i="15"/>
  <c r="F6" i="67"/>
  <c r="J15" i="67"/>
  <c r="F26" i="15"/>
  <c r="M23" i="67"/>
  <c r="M22" i="15"/>
  <c r="F13" i="67"/>
  <c r="D3" i="73"/>
  <c r="F37" i="67"/>
  <c r="F7" i="15"/>
  <c r="F16" i="15"/>
  <c r="F26" i="67"/>
  <c r="F40" i="15"/>
  <c r="C14" i="15"/>
  <c r="F6" i="15"/>
  <c r="F40" i="67"/>
  <c r="F8" i="67"/>
  <c r="D7" i="73"/>
  <c r="F38" i="67"/>
  <c r="F37" i="15"/>
  <c r="M28" i="15"/>
  <c r="D4" i="73"/>
  <c r="F42" i="15"/>
  <c r="M9" i="15"/>
  <c r="F7" i="67"/>
  <c r="C76" i="15"/>
  <c r="F36" i="67"/>
  <c r="C16" i="67"/>
  <c r="C17" i="15"/>
  <c r="G1" i="73"/>
  <c r="F64" i="67" l="1"/>
  <c r="Q71" i="15"/>
  <c r="M7" i="67"/>
  <c r="J6" i="67" s="1"/>
  <c r="F50" i="67"/>
  <c r="E20" i="43"/>
  <c r="F65" i="15"/>
  <c r="F66" i="67"/>
  <c r="F51" i="67"/>
  <c r="F68" i="67"/>
  <c r="C6" i="15"/>
  <c r="F68" i="15"/>
  <c r="C27" i="67"/>
  <c r="F50" i="15"/>
  <c r="M7" i="15"/>
  <c r="J6" i="15" s="1"/>
  <c r="F65" i="67"/>
  <c r="C27" i="15"/>
  <c r="C6" i="67"/>
  <c r="P21" i="43"/>
  <c r="F7" i="21"/>
  <c r="H7" i="21"/>
  <c r="J7" i="34"/>
  <c r="F7" i="34"/>
  <c r="F7" i="33"/>
  <c r="H103" i="43"/>
  <c r="D29" i="71"/>
  <c r="C30" i="71"/>
  <c r="D41" i="71"/>
  <c r="C42" i="71"/>
  <c r="D33" i="71"/>
  <c r="C34" i="71"/>
  <c r="C22" i="71"/>
  <c r="D21" i="71"/>
  <c r="AZ477" i="3"/>
  <c r="AZ459" i="3"/>
  <c r="AZ442" i="3"/>
  <c r="AZ403" i="3"/>
  <c r="AB44" i="39"/>
  <c r="U44" i="39"/>
  <c r="AB12" i="34"/>
  <c r="U12" i="34"/>
  <c r="D45" i="71"/>
  <c r="C46" i="71"/>
  <c r="C54" i="71"/>
  <c r="D53" i="71"/>
  <c r="C26" i="71"/>
  <c r="D25" i="71"/>
  <c r="AA44" i="39"/>
  <c r="S44" i="39"/>
  <c r="AA40" i="40"/>
  <c r="S40" i="40"/>
  <c r="E16" i="6"/>
  <c r="E58" i="40"/>
  <c r="E63" i="39"/>
  <c r="F28" i="12"/>
  <c r="C29" i="12" s="1"/>
  <c r="D28" i="12" s="1"/>
  <c r="E60" i="40"/>
  <c r="E65" i="39"/>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8" i="43"/>
  <c r="V8" i="43" s="1"/>
  <c r="T16" i="43"/>
  <c r="V16" i="43" s="1"/>
  <c r="G37" i="43"/>
  <c r="I37"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15"/>
  <c r="C14" i="67"/>
  <c r="AE6" i="1"/>
  <c r="C17" i="67"/>
  <c r="T26" i="71" l="1"/>
  <c r="D26" i="71"/>
  <c r="D54" i="71"/>
  <c r="T54" i="71"/>
  <c r="T22" i="71"/>
  <c r="D22" i="71"/>
  <c r="S7" i="33"/>
  <c r="AA7" i="33"/>
  <c r="R48" i="33" s="1"/>
  <c r="T46" i="71"/>
  <c r="D46" i="71"/>
  <c r="T34" i="71"/>
  <c r="D34" i="71"/>
  <c r="T42" i="71"/>
  <c r="D42" i="71"/>
  <c r="T30" i="71"/>
  <c r="D30" i="71"/>
  <c r="S5" i="43"/>
  <c r="T5" i="43" s="1"/>
  <c r="V5" i="43" s="1"/>
  <c r="C23" i="43"/>
  <c r="C21" i="43" s="1"/>
  <c r="C29" i="43" s="1"/>
  <c r="S2" i="43"/>
  <c r="T2" i="43" s="1"/>
  <c r="V2" i="43" s="1"/>
  <c r="S6" i="43"/>
  <c r="T6" i="43" s="1"/>
  <c r="V6" i="43" s="1"/>
  <c r="S7" i="43"/>
  <c r="T7" i="43" s="1"/>
  <c r="V7" i="43" s="1"/>
  <c r="S3" i="43"/>
  <c r="T3" i="43" s="1"/>
  <c r="V3" i="43" s="1"/>
  <c r="S4" i="43"/>
  <c r="T4" i="43" s="1"/>
  <c r="V4" i="43" s="1"/>
  <c r="E66" i="39"/>
  <c r="C15" i="67"/>
  <c r="C18" i="67"/>
  <c r="E6" i="70"/>
  <c r="E2" i="70" s="1"/>
  <c r="C19" i="15"/>
  <c r="C20" i="15" s="1"/>
  <c r="C26" i="15" s="1"/>
  <c r="C29" i="69"/>
  <c r="D27" i="69" s="1"/>
  <c r="AQ6" i="1"/>
  <c r="S1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20" i="6" s="1"/>
  <c r="I20" i="6" s="1"/>
  <c r="S20" i="6" s="1"/>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J26" i="67"/>
  <c r="J24" i="67"/>
  <c r="J24" i="15"/>
  <c r="J26" i="15"/>
  <c r="J29" i="15" s="1"/>
  <c r="C53" i="67"/>
  <c r="C48" i="67" s="1"/>
  <c r="C10" i="67"/>
  <c r="C5" i="67" s="1"/>
  <c r="C53" i="15"/>
  <c r="C48" i="15" s="1"/>
  <c r="C10" i="15"/>
  <c r="C5" i="15" s="1"/>
  <c r="F25" i="12"/>
  <c r="F22" i="69"/>
  <c r="F24" i="67"/>
  <c r="C24" i="67" s="1"/>
  <c r="F22" i="11"/>
  <c r="F22" i="68"/>
  <c r="F24" i="15"/>
  <c r="C24" i="15" s="1"/>
  <c r="F41" i="67"/>
  <c r="E48" i="33" l="1"/>
  <c r="R49" i="33"/>
  <c r="I53" i="33"/>
  <c r="J53" i="33" s="1"/>
  <c r="E29" i="43"/>
  <c r="C26" i="43" s="1"/>
  <c r="C30" i="43"/>
  <c r="E30" i="43" s="1"/>
  <c r="C27" i="43" s="1"/>
  <c r="C19" i="67"/>
  <c r="C20" i="67" s="1"/>
  <c r="C26" i="67" s="1"/>
  <c r="E6" i="3"/>
  <c r="F69" i="67"/>
  <c r="J29" i="67"/>
  <c r="K27" i="6"/>
  <c r="M18" i="77"/>
  <c r="B118" i="77" s="1"/>
  <c r="B91" i="78" s="1"/>
  <c r="L18" i="77"/>
  <c r="G63" i="40"/>
  <c r="F65" i="40"/>
  <c r="H70" i="39"/>
  <c r="I68" i="39"/>
  <c r="G53" i="33"/>
  <c r="H53" i="33" s="1"/>
  <c r="E53" i="34"/>
  <c r="F53" i="34" s="1"/>
  <c r="E54" i="34"/>
  <c r="F54" i="34" s="1"/>
  <c r="B5" i="71"/>
  <c r="S6" i="71"/>
  <c r="W7" i="37"/>
  <c r="AC7" i="37"/>
  <c r="V42" i="37" s="1"/>
  <c r="I42" i="37" s="1"/>
  <c r="C35" i="69"/>
  <c r="C38" i="69"/>
  <c r="O14" i="1"/>
  <c r="O16" i="1" s="1"/>
  <c r="T16" i="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M27" i="6"/>
  <c r="AA7" i="37"/>
  <c r="R42" i="37" s="1"/>
  <c r="S7" i="37"/>
  <c r="C49" i="34"/>
  <c r="C50" i="34"/>
  <c r="K48" i="35"/>
  <c r="L48" i="35" s="1"/>
  <c r="M48" i="35" s="1"/>
  <c r="N48" i="35" s="1"/>
  <c r="O48" i="35" s="1"/>
  <c r="F7" i="35" s="1"/>
  <c r="I46" i="36"/>
  <c r="J46" i="36" s="1"/>
  <c r="K46" i="36" s="1"/>
  <c r="L46" i="36" s="1"/>
  <c r="M46" i="36" s="1"/>
  <c r="N46" i="36" s="1"/>
  <c r="O46" i="36" s="1"/>
  <c r="H7" i="36"/>
  <c r="D12" i="71"/>
  <c r="C11" i="71"/>
  <c r="I54" i="34"/>
  <c r="J54" i="34" s="1"/>
  <c r="E52" i="21"/>
  <c r="F52" i="21" s="1"/>
  <c r="E53" i="21"/>
  <c r="F53" i="21" s="1"/>
  <c r="D3" i="34"/>
  <c r="D3" i="33"/>
  <c r="E6" i="6"/>
  <c r="D37" i="11"/>
  <c r="C37" i="11" s="1"/>
  <c r="D14" i="12"/>
  <c r="M18" i="9"/>
  <c r="B118" i="9" s="1"/>
  <c r="B14" i="74" s="1"/>
  <c r="D3" i="21"/>
  <c r="D19" i="11"/>
  <c r="C19" i="11" s="1"/>
  <c r="C24" i="11" s="1"/>
  <c r="C17" i="4"/>
  <c r="B4" i="52" s="1"/>
  <c r="B43" i="72" s="1"/>
  <c r="L18" i="9"/>
  <c r="D3" i="37"/>
  <c r="H7" i="37"/>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E6" i="76"/>
  <c r="B6" i="76"/>
  <c r="C48" i="33" l="1"/>
  <c r="C49" i="33"/>
  <c r="B2" i="33" s="1"/>
  <c r="B3" i="33" s="1"/>
  <c r="J7" i="36"/>
  <c r="W7" i="36" s="1"/>
  <c r="E52" i="33"/>
  <c r="F52" i="33" s="1"/>
  <c r="E53" i="33"/>
  <c r="F53" i="33" s="1"/>
  <c r="C23" i="67"/>
  <c r="C29" i="67" s="1"/>
  <c r="C36" i="67" s="1"/>
  <c r="E2" i="76"/>
  <c r="L19" i="77"/>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AA7" i="35"/>
  <c r="R38" i="35" s="1"/>
  <c r="S7" i="35"/>
  <c r="R43" i="37"/>
  <c r="E42" i="37"/>
  <c r="S19" i="6"/>
  <c r="S27" i="6" s="1"/>
  <c r="I27" i="6"/>
  <c r="B2" i="21"/>
  <c r="B3" i="21" s="1"/>
  <c r="I47" i="37"/>
  <c r="J47" i="37" s="1"/>
  <c r="I46" i="37"/>
  <c r="J46" i="37" s="1"/>
  <c r="H7" i="35"/>
  <c r="B2" i="76"/>
  <c r="B3" i="43"/>
  <c r="J14" i="15"/>
  <c r="C57" i="15"/>
  <c r="C36" i="15"/>
  <c r="C33" i="15"/>
  <c r="C31" i="15" s="1"/>
  <c r="C13" i="15"/>
  <c r="Q49" i="15"/>
  <c r="J19" i="15"/>
  <c r="J17" i="15" s="1"/>
  <c r="J59" i="15"/>
  <c r="J60" i="15" s="1"/>
  <c r="C33" i="67"/>
  <c r="C13" i="67"/>
  <c r="C57" i="67"/>
  <c r="J59" i="67"/>
  <c r="J60" i="67" s="1"/>
  <c r="C19" i="77"/>
  <c r="Q49" i="67" l="1"/>
  <c r="J19" i="67"/>
  <c r="J14" i="67"/>
  <c r="J13" i="67" s="1"/>
  <c r="J23" i="67" s="1"/>
  <c r="B3" i="76"/>
  <c r="R24" i="6"/>
  <c r="R25" i="6"/>
  <c r="R20" i="6"/>
  <c r="D30" i="6"/>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B2" i="74" l="1"/>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F35" i="67"/>
  <c r="L51" i="15"/>
  <c r="M21" i="67"/>
  <c r="D8" i="74" l="1"/>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19" i="77"/>
  <c r="D35" i="77"/>
  <c r="D20" i="77"/>
  <c r="D34" i="77"/>
  <c r="AO6" i="1"/>
  <c r="B93" i="78" l="1"/>
  <c r="B6" i="70"/>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35" i="9" s="1"/>
  <c r="I118" i="77"/>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118" i="77" l="1"/>
  <c r="C104" i="77" s="1"/>
  <c r="K103" i="77" s="1"/>
  <c r="F118" i="77"/>
  <c r="F119" i="77" s="1"/>
  <c r="F91" i="78"/>
  <c r="E118" i="77"/>
  <c r="D118" i="77" s="1"/>
  <c r="D119" i="77" s="1"/>
  <c r="H102" i="77"/>
  <c r="C105" i="77"/>
  <c r="C43" i="40"/>
  <c r="C42" i="40"/>
  <c r="E47" i="40"/>
  <c r="F47" i="40" s="1"/>
  <c r="E46" i="40"/>
  <c r="F46" i="40" s="1"/>
  <c r="H101" i="77" l="1"/>
  <c r="H119"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107" i="77" l="1"/>
  <c r="H109" i="77"/>
  <c r="D122" i="77"/>
  <c r="D123" i="77" s="1"/>
  <c r="D45" i="77"/>
  <c r="D55" i="77" s="1"/>
  <c r="M53" i="77" s="1"/>
  <c r="M48" i="77"/>
  <c r="C72" i="77"/>
  <c r="M49" i="77" l="1"/>
  <c r="L68" i="77" s="1"/>
  <c r="M68" i="77" s="1"/>
  <c r="H108" i="77"/>
  <c r="H110" i="77"/>
  <c r="D124" i="77"/>
  <c r="D125" i="77" s="1"/>
  <c r="C64" i="77"/>
  <c r="C63" i="77" s="1"/>
  <c r="C67" i="77" s="1"/>
  <c r="C68" i="77" s="1"/>
  <c r="D54" i="77" s="1"/>
  <c r="C93" i="77"/>
  <c r="C86" i="77" s="1"/>
  <c r="C85" i="77"/>
  <c r="D53" i="77"/>
  <c r="C78" i="77"/>
  <c r="C73" i="77" s="1"/>
  <c r="C79" i="77" s="1"/>
  <c r="C80" i="77" s="1"/>
  <c r="E80" i="77" s="1"/>
  <c r="E81" i="77" s="1"/>
  <c r="D52" i="77"/>
  <c r="L66" i="77" l="1"/>
  <c r="M66" i="77" s="1"/>
  <c r="L64" i="77"/>
  <c r="M64" i="77" s="1"/>
  <c r="L65" i="77"/>
  <c r="M65" i="77" s="1"/>
  <c r="L63" i="77"/>
  <c r="M63" i="77" s="1"/>
  <c r="L67" i="77"/>
  <c r="M67" i="77" s="1"/>
  <c r="C95" i="77"/>
  <c r="C96" i="77" s="1"/>
  <c r="C81" i="77"/>
  <c r="M69" i="77" l="1"/>
  <c r="N69" i="77" s="1"/>
  <c r="E96" i="77"/>
  <c r="E97" i="77" s="1"/>
  <c r="C97" i="77"/>
  <c r="D58" i="77" s="1"/>
  <c r="D56" i="77" s="1"/>
  <c r="M54" i="77" s="1"/>
  <c r="N57" i="77" s="1"/>
  <c r="N58" i="77" l="1"/>
  <c r="P57" i="77"/>
  <c r="N59" i="77"/>
  <c r="C75" i="31"/>
  <c r="R75" i="31" s="1"/>
  <c r="S75" i="31" s="1"/>
  <c r="S22" i="31" s="1"/>
  <c r="U22" i="31" s="1"/>
  <c r="U23" i="31" s="1"/>
  <c r="B22" i="31"/>
  <c r="U27" i="31" s="1"/>
  <c r="E91" i="78"/>
  <c r="N60" i="77" l="1"/>
  <c r="N61" i="77"/>
  <c r="B20" i="31"/>
  <c r="U26" i="31"/>
  <c r="U28" i="31" s="1"/>
  <c r="E15" i="74"/>
  <c r="B1" i="74"/>
  <c r="R22" i="31"/>
  <c r="B21" i="31" s="1"/>
  <c r="C20" i="9"/>
  <c r="D19" i="9"/>
  <c r="C19" i="9"/>
  <c r="D20" i="9"/>
  <c r="D21" i="9" l="1"/>
  <c r="D102" i="9"/>
  <c r="C102" i="9"/>
  <c r="C21" i="9"/>
  <c r="D22" i="9"/>
  <c r="G19" i="9"/>
  <c r="G21" i="9" s="1"/>
  <c r="C8" i="74"/>
  <c r="D103" i="9"/>
  <c r="C103" i="9"/>
  <c r="G20" i="9"/>
  <c r="C32" i="9" l="1"/>
  <c r="F34" i="9"/>
  <c r="C35" i="9"/>
  <c r="D35" i="9" s="1"/>
  <c r="C34" i="9" l="1"/>
  <c r="I118" i="9"/>
  <c r="H118" i="9" s="1"/>
  <c r="H101" i="9" s="1"/>
  <c r="H109" i="9" s="1"/>
  <c r="G118" i="9"/>
  <c r="G4" i="52" s="1"/>
  <c r="B52" i="72" s="1"/>
  <c r="D34" i="9"/>
  <c r="H110" i="9" l="1"/>
  <c r="D18" i="53" s="1"/>
  <c r="B35" i="72" s="1"/>
  <c r="D16" i="53"/>
  <c r="D124" i="9"/>
  <c r="C104" i="9"/>
  <c r="H4" i="52"/>
  <c r="H119" i="9"/>
  <c r="H5" i="52" s="1"/>
  <c r="D14" i="74"/>
  <c r="B5" i="74" s="1"/>
  <c r="G91" i="78" s="1"/>
  <c r="C91" i="78" s="1"/>
  <c r="F118" i="9"/>
  <c r="E118" i="9"/>
  <c r="E4" i="52" s="1"/>
  <c r="B48" i="72" s="1"/>
  <c r="H102" i="9"/>
  <c r="D7" i="53" s="1"/>
  <c r="B21" i="72" s="1"/>
  <c r="I4" i="52"/>
  <c r="C105" i="9"/>
  <c r="E14" i="74"/>
  <c r="H107" i="9"/>
  <c r="M48" i="9"/>
  <c r="D45" i="9"/>
  <c r="D5" i="53"/>
  <c r="F14" i="74" l="1"/>
  <c r="D118" i="9"/>
  <c r="B34" i="72"/>
  <c r="D17" i="53"/>
  <c r="B36" i="72" s="1"/>
  <c r="H14" i="74"/>
  <c r="B7" i="74" s="1"/>
  <c r="D10" i="52"/>
  <c r="D125" i="9"/>
  <c r="D11" i="52" s="1"/>
  <c r="F4" i="52"/>
  <c r="B51" i="72" s="1"/>
  <c r="F119" i="9"/>
  <c r="F5" i="52" s="1"/>
  <c r="B53" i="72" s="1"/>
  <c r="D6" i="53"/>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D5" i="74"/>
  <c r="D119" i="9" l="1"/>
  <c r="D5" i="52" s="1"/>
  <c r="B49" i="72" s="1"/>
  <c r="D4" i="52"/>
  <c r="B47" i="72" s="1"/>
  <c r="D7" i="74"/>
  <c r="C7" i="74"/>
  <c r="J76" i="80"/>
  <c r="F76" i="80" s="1"/>
  <c r="H91" i="78"/>
  <c r="D91" i="78"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<sst xmlns="http://schemas.openxmlformats.org/spreadsheetml/2006/main" count="7863" uniqueCount="3290">
  <si>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</si>
  <si>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</si>
  <si>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</si>
  <si>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</si>
  <si>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</si>
  <si>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</si>
  <si>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</si>
  <si>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</si>
  <si>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</si>
  <si>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</si>
  <si>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</si>
  <si>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</si>
  <si>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</si>
  <si>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</si>
  <si>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</si>
  <si>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</si>
  <si>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</si>
  <si>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</si>
  <si>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</si>
  <si>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</si>
  <si>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</si>
  <si>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</si>
  <si>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</si>
  <si>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</si>
  <si>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</si>
  <si>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</si>
  <si>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</si>
  <si>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</si>
  <si>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</si>
  <si>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</si>
  <si>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</si>
  <si>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</si>
  <si>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</si>
  <si>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</si>
  <si>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</si>
  <si>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</si>
  <si>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</si>
  <si>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</si>
  <si>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</si>
  <si>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</si>
  <si>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</si>
  <si>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</si>
  <si>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</si>
  <si>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</si>
  <si>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</si>
  <si>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</si>
  <si>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</si>
  <si>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</si>
  <si>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</si>
  <si>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</si>
  <si>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</si>
  <si>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</si>
  <si>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</si>
  <si>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</si>
  <si>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</si>
  <si>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</si>
  <si>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</si>
  <si>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</si>
  <si>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</si>
  <si>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</si>
  <si>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</si>
  <si>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</si>
  <si>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</si>
  <si>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</si>
  <si>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</si>
  <si>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</si>
  <si>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</si>
  <si>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</si>
  <si>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</si>
  <si>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</si>
  <si>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</si>
  <si>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</si>
  <si>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</si>
  <si>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</si>
  <si>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</si>
  <si>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</si>
  <si>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</si>
  <si>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</si>
  <si>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</si>
  <si>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</si>
  <si>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</si>
  <si>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</si>
  <si>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</si>
  <si>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</si>
  <si>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</si>
  <si>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</si>
  <si>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</si>
  <si>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</si>
  <si>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</si>
  <si>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</si>
  <si>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</si>
  <si>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</si>
  <si>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</si>
  <si>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</si>
  <si>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</si>
  <si>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</si>
  <si>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</si>
  <si>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</si>
  <si>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</si>
  <si>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</si>
  <si>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</si>
  <si>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</si>
  <si>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</si>
  <si>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</si>
  <si>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</si>
  <si>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</si>
  <si>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</si>
  <si>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</si>
  <si>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</si>
  <si>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</si>
  <si>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</si>
  <si>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</si>
  <si>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</si>
  <si>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</si>
  <si>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</si>
  <si>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</si>
  <si>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</si>
  <si>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</si>
  <si>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</si>
  <si>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</si>
  <si>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</si>
  <si>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</si>
  <si>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</si>
  <si>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</si>
  <si>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</si>
  <si>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</si>
  <si>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</si>
  <si>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</si>
  <si>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</si>
  <si>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</si>
  <si>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</si>
  <si>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</si>
  <si>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</si>
  <si>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</si>
  <si>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</si>
  <si>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</si>
  <si>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</si>
  <si>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</si>
  <si>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</si>
  <si>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</si>
  <si>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</si>
  <si>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</si>
  <si>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</si>
  <si>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</si>
  <si>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</si>
  <si>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</si>
  <si>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</si>
  <si>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</si>
  <si>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</si>
  <si>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</si>
  <si>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</si>
  <si>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</si>
  <si>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</si>
  <si>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</si>
  <si>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</si>
  <si>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</si>
  <si>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</si>
  <si>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</si>
  <si>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</si>
  <si>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</si>
  <si>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</si>
  <si>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</si>
  <si>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</si>
  <si>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</si>
  <si>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</si>
  <si>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</si>
  <si>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</si>
  <si>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</si>
  <si>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</si>
  <si>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</si>
  <si>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</si>
  <si>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</si>
  <si>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</si>
  <si>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</si>
  <si>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</si>
  <si>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</si>
  <si>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</si>
  <si>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</si>
  <si>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</si>
  <si>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</si>
  <si>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</si>
  <si>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</si>
  <si>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</si>
  <si>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</si>
  <si>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</si>
  <si>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</si>
  <si>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</si>
  <si>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</si>
  <si>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</si>
  <si>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</si>
  <si>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</si>
  <si>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</si>
  <si>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</si>
  <si>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</si>
  <si>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</si>
  <si>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</si>
  <si>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</si>
  <si>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</si>
  <si>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</si>
  <si>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</si>
  <si>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</si>
  <si>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</si>
  <si>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</si>
  <si>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</si>
  <si>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</si>
  <si>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</si>
  <si>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</si>
  <si>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</si>
  <si>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</si>
  <si>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</si>
  <si>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</si>
  <si>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</si>
  <si>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</si>
  <si>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</si>
  <si>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</si>
  <si>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</si>
  <si>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</si>
  <si>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</si>
  <si>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</si>
  <si>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</si>
  <si>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</si>
  <si>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</si>
  <si>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</si>
  <si>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</si>
  <si>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</si>
  <si>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</si>
  <si>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</si>
  <si>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</si>
  <si>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</si>
  <si>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</si>
  <si>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</si>
  <si>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</si>
  <si>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</si>
  <si>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</si>
  <si>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</si>
  <si>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</si>
  <si>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</si>
  <si>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</si>
  <si>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</si>
  <si>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</si>
  <si>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</si>
  <si>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</si>
  <si>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</si>
  <si>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</si>
  <si>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</si>
  <si>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</si>
  <si>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</si>
  <si>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</si>
  <si>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</si>
  <si>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</si>
  <si>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</si>
  <si>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</si>
  <si>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</si>
  <si>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</si>
  <si>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</si>
  <si>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</si>
  <si>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</si>
  <si>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</si>
  <si>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</si>
  <si>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</si>
  <si>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</si>
  <si>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</si>
  <si>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</si>
  <si>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</si>
  <si>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</si>
  <si>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</si>
  <si>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</si>
  <si>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</si>
  <si>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</si>
  <si>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</si>
  <si>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</si>
  <si>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</si>
  <si>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</si>
  <si>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</si>
  <si>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</si>
  <si>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</si>
  <si>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</si>
  <si>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</si>
  <si>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</si>
  <si>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</si>
  <si>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</si>
  <si>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</si>
  <si>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</si>
  <si>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</si>
  <si>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</si>
  <si>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</si>
  <si>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</si>
  <si>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</si>
  <si>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</si>
  <si>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</si>
  <si>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</si>
  <si>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</si>
  <si>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</si>
  <si>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</si>
  <si>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</si>
  <si>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</si>
  <si>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</si>
  <si>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</si>
  <si>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</si>
  <si>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</si>
  <si>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</si>
  <si>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</si>
  <si>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</si>
  <si>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</si>
  <si>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</si>
  <si>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</si>
  <si>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</si>
  <si>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</si>
  <si>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</si>
  <si>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</si>
  <si>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</si>
  <si>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</si>
  <si>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</si>
  <si>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</si>
  <si>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</si>
  <si>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</si>
  <si>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</si>
  <si>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</si>
  <si>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</si>
  <si>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</si>
  <si>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</si>
  <si>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</si>
  <si>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</si>
  <si>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</si>
  <si>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</si>
  <si>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</si>
  <si>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</si>
  <si>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</si>
  <si>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</si>
  <si>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</si>
  <si>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</si>
  <si>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</si>
  <si>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</si>
  <si>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</si>
  <si>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</si>
  <si>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</si>
  <si>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</si>
  <si>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</si>
  <si>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</si>
  <si>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</si>
  <si>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</si>
  <si>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</si>
  <si>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</si>
  <si>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</si>
  <si>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</si>
  <si>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</si>
  <si>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</si>
  <si>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</si>
  <si>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</si>
  <si>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</si>
  <si>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</si>
  <si>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</si>
  <si>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</si>
  <si>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</si>
  <si>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</si>
  <si>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</si>
  <si>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</si>
  <si>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</si>
  <si>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</si>
  <si>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</si>
  <si>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</si>
  <si>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</si>
  <si>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</si>
  <si>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</si>
  <si>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</si>
  <si>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</si>
  <si>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</si>
  <si>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</si>
  <si>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</si>
  <si>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</si>
  <si>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</si>
  <si>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</si>
  <si>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</si>
  <si>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</si>
  <si>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</si>
  <si>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</si>
  <si>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</si>
  <si>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</si>
  <si>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</si>
  <si>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</si>
  <si>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</si>
  <si>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</si>
  <si>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</si>
  <si>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</si>
  <si>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</si>
  <si>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</si>
  <si>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</si>
  <si>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</si>
  <si>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</si>
  <si>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</si>
  <si>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</si>
  <si>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</si>
  <si>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</si>
  <si>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</si>
  <si>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</si>
  <si>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</si>
  <si>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</si>
  <si>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</si>
  <si>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</si>
  <si>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</si>
  <si>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</si>
  <si>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</si>
  <si>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</si>
  <si>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</si>
  <si>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</si>
  <si>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</si>
  <si>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</si>
  <si>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</si>
  <si>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</si>
  <si>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</si>
  <si>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</si>
  <si>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</si>
  <si>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</si>
  <si>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</si>
  <si>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</si>
  <si>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</si>
  <si>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</si>
  <si>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</si>
  <si>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</si>
  <si>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</si>
  <si>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</si>
  <si>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</si>
  <si>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</si>
  <si>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</si>
  <si>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</si>
  <si>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</si>
  <si>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</si>
  <si>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</si>
  <si>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</si>
  <si>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</si>
  <si>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</si>
  <si>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</si>
  <si>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</si>
  <si>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</si>
  <si>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</si>
  <si>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</si>
  <si>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</si>
  <si>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</si>
  <si>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</si>
  <si>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</si>
  <si>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</si>
  <si>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</si>
  <si>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</si>
  <si>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</si>
  <si>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</si>
  <si>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</si>
  <si>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</si>
  <si>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</si>
  <si>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</si>
  <si>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</si>
  <si>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</si>
  <si>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</si>
  <si>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</si>
  <si>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</si>
  <si>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</si>
  <si>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</si>
  <si>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</si>
  <si>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</si>
  <si>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</si>
  <si>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</si>
  <si>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</si>
  <si>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</si>
  <si>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</si>
  <si>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</si>
  <si>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</si>
  <si>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</si>
  <si>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</si>
  <si>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</si>
  <si>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</si>
  <si>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</si>
  <si>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</si>
  <si>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</si>
  <si>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</si>
  <si>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</si>
  <si>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</si>
  <si>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</si>
  <si>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</si>
  <si>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</si>
  <si>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</si>
  <si>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</si>
  <si>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</si>
  <si>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</si>
  <si>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</si>
  <si>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</si>
  <si>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</si>
  <si>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</si>
  <si>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</si>
  <si>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</si>
  <si>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</si>
  <si>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</si>
  <si>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</si>
  <si>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</si>
  <si>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</si>
  <si>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</si>
  <si>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</si>
  <si>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</si>
  <si>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</si>
  <si>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</si>
  <si>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</si>
  <si>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</si>
  <si>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</si>
  <si>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</si>
  <si>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</si>
  <si>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</si>
  <si>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</si>
  <si>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</si>
  <si>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</si>
  <si>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</si>
  <si>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</si>
  <si>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</si>
  <si>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</si>
  <si>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</si>
  <si>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</si>
  <si>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</si>
  <si>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</si>
  <si>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</si>
  <si>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</si>
  <si>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</si>
  <si>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</si>
  <si>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</si>
  <si>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</si>
  <si>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</si>
  <si>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</si>
  <si>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</si>
  <si>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</si>
  <si>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</si>
  <si>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</si>
  <si>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</si>
  <si>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</si>
  <si>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</si>
  <si>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</si>
  <si>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</si>
  <si>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</si>
  <si>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</si>
  <si>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</si>
  <si>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</si>
  <si>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</si>
  <si>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</si>
  <si>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</si>
  <si>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</si>
  <si>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</si>
  <si>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</si>
  <si>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</si>
  <si>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</si>
  <si>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</si>
  <si>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</si>
  <si>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</si>
  <si>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</si>
  <si>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</si>
  <si>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</si>
  <si>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</si>
  <si>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</si>
  <si>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</si>
  <si>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</si>
  <si>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</si>
  <si>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</si>
  <si>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</si>
  <si>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</si>
  <si>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</si>
  <si>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</si>
  <si>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</si>
  <si>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</si>
  <si>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</si>
  <si>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</si>
  <si>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</si>
  <si>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</si>
  <si>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</si>
  <si>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</si>
  <si>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</si>
  <si>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</si>
  <si>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</si>
  <si>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</si>
  <si>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</si>
  <si>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</si>
  <si>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</si>
  <si>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</si>
  <si>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</si>
  <si>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</si>
  <si>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</si>
  <si>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</si>
  <si>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</si>
  <si>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</si>
  <si>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</si>
  <si>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</si>
  <si>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</si>
  <si>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</si>
  <si>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</si>
  <si>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</si>
  <si>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</si>
  <si>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</si>
  <si>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</si>
  <si>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</si>
  <si>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</si>
  <si>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</si>
  <si>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</si>
  <si>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</si>
  <si>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</si>
  <si>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</si>
  <si>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</si>
  <si>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</si>
  <si>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</si>
  <si>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</si>
  <si>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</si>
  <si>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</si>
  <si>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</si>
  <si>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</si>
  <si>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</si>
  <si>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</si>
  <si>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</si>
  <si>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</si>
  <si>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</si>
  <si>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</si>
  <si>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</si>
  <si>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</si>
  <si>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</si>
  <si>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</si>
  <si>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</si>
  <si>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</si>
  <si>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</si>
  <si>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</si>
  <si>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</si>
  <si>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</si>
  <si>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</si>
  <si>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</si>
  <si>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</si>
  <si>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</si>
  <si>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</si>
  <si>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</si>
  <si>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</si>
  <si>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</si>
  <si>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</si>
  <si>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</si>
  <si>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</si>
  <si>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</si>
  <si>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</si>
  <si>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</si>
  <si>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</si>
  <si>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</si>
  <si>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</si>
  <si>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</si>
  <si>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</si>
  <si>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</si>
  <si>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</si>
  <si>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</si>
  <si>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</si>
  <si>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</si>
  <si>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</si>
  <si>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</si>
  <si>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</si>
  <si>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</si>
  <si>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</si>
  <si>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</si>
  <si>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</si>
  <si>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</si>
  <si>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</si>
  <si>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</si>
  <si>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</si>
  <si>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</si>
  <si>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</si>
  <si>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</si>
  <si>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</si>
  <si>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</si>
  <si>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</si>
  <si>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</si>
  <si>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</si>
  <si>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</si>
  <si>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</si>
  <si>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</si>
  <si>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</si>
  <si>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</si>
  <si>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</si>
  <si>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</si>
  <si>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</si>
  <si>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</si>
  <si>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</si>
  <si>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</si>
  <si>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</si>
  <si>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</si>
  <si>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</si>
  <si>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</si>
  <si>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</si>
  <si>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</si>
  <si>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</si>
  <si>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</si>
  <si>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</si>
  <si>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</si>
  <si>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</si>
  <si>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</si>
  <si>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</si>
  <si>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</si>
  <si>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</si>
  <si>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</si>
  <si>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</si>
  <si>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</si>
  <si>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</si>
  <si>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</si>
  <si>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</si>
  <si>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</si>
  <si>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</si>
  <si>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</si>
  <si>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</si>
  <si>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</si>
  <si>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</si>
  <si>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</si>
  <si>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</si>
  <si>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</si>
  <si>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</si>
  <si>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</si>
  <si>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</si>
  <si>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</si>
  <si>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</si>
  <si>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</si>
  <si>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</si>
  <si>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</si>
  <si>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</si>
  <si>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</si>
  <si>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</si>
  <si>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</si>
  <si>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</si>
  <si>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</si>
  <si>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</si>
  <si>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</si>
  <si>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</si>
  <si>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</si>
  <si>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</si>
  <si>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</si>
  <si>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</si>
  <si>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</si>
  <si>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</si>
  <si>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</si>
  <si>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</si>
  <si>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</si>
  <si>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</si>
  <si>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</si>
  <si>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</si>
  <si>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</si>
  <si>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</si>
  <si>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</si>
  <si>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</si>
  <si>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</si>
  <si>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</si>
  <si>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</si>
  <si>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</si>
  <si>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</si>
  <si>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</si>
  <si>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</si>
  <si>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</si>
  <si>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</si>
  <si>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</si>
  <si>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</si>
  <si>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</si>
  <si>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</si>
  <si>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</si>
  <si>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</si>
  <si>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</si>
  <si>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</si>
  <si>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</si>
  <si>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</si>
  <si>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</si>
  <si>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</si>
  <si>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</si>
  <si>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</si>
  <si>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</si>
  <si>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</si>
  <si>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</si>
  <si>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</si>
  <si>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</si>
  <si>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</si>
  <si>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</si>
  <si>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</si>
  <si>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</si>
  <si>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</si>
  <si>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</si>
  <si>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</si>
  <si>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</si>
  <si>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</si>
  <si>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</si>
  <si>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</si>
  <si>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</si>
  <si>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</si>
  <si>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</si>
  <si>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</si>
  <si>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</si>
  <si>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</si>
  <si>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</si>
  <si>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</si>
  <si>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</si>
  <si>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</si>
  <si>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</si>
  <si>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</si>
  <si>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</si>
  <si>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</si>
  <si>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</si>
  <si>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</si>
  <si>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</si>
  <si>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</si>
  <si>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</si>
  <si>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</si>
  <si>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</si>
  <si>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</si>
  <si>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</si>
  <si>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</si>
  <si>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</si>
  <si>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</si>
  <si>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</si>
  <si>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</si>
  <si>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</si>
  <si>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</si>
  <si>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</si>
  <si>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</si>
  <si>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</si>
  <si>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</si>
  <si>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</si>
  <si>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</si>
  <si>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</si>
  <si>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</si>
  <si>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</si>
  <si>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</si>
  <si>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</si>
  <si>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</si>
  <si>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</si>
  <si>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</si>
  <si>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</si>
  <si>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</si>
  <si>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</si>
  <si>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</si>
  <si>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</si>
  <si>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</si>
  <si>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</si>
  <si>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</si>
  <si>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</si>
  <si>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</si>
  <si>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</si>
  <si>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</si>
  <si>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</si>
  <si>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</si>
  <si>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</si>
  <si>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</si>
  <si>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</si>
  <si>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</si>
  <si>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</si>
  <si>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</si>
  <si>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</si>
  <si>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</si>
  <si>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</si>
  <si>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</si>
  <si>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</si>
  <si>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</si>
  <si>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</si>
  <si>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</si>
  <si>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</si>
  <si>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</si>
  <si>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</si>
  <si>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</si>
  <si>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</si>
  <si>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</si>
  <si>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</si>
  <si>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</si>
  <si>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</si>
  <si>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</si>
  <si>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</si>
  <si>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</si>
  <si>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</si>
  <si>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</si>
  <si>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</si>
  <si>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</si>
  <si>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</si>
  <si>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</si>
  <si>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</si>
  <si>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</si>
  <si>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</si>
  <si>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</si>
  <si>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</si>
  <si>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</si>
  <si>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</si>
  <si>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</si>
  <si>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</si>
  <si>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</si>
  <si>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</si>
  <si>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</si>
  <si>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</si>
  <si>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</si>
  <si>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</si>
  <si>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</si>
  <si>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</si>
  <si>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</si>
  <si>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</si>
  <si>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</si>
  <si>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</si>
  <si>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</si>
  <si>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</si>
  <si>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</si>
  <si>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</si>
  <si>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</si>
  <si>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</si>
  <si>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</si>
  <si>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</si>
  <si>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</si>
  <si>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</si>
  <si>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</si>
  <si>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</si>
  <si>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</si>
  <si>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</si>
  <si>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</si>
  <si>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</si>
  <si>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</si>
  <si>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</si>
  <si>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</si>
  <si>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</si>
  <si>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</si>
  <si>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</si>
  <si>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</si>
  <si>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</si>
  <si>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</si>
  <si>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</si>
  <si>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</si>
  <si>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</si>
  <si>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</si>
  <si>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</si>
  <si>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</si>
  <si>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</si>
  <si>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</si>
  <si>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</si>
  <si>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</si>
  <si>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</si>
  <si>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</si>
  <si>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</si>
  <si>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</si>
  <si>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</si>
  <si>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</si>
  <si>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</si>
  <si>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</si>
  <si>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</si>
  <si>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</si>
  <si>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</si>
  <si>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</si>
  <si>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</si>
  <si>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</si>
  <si>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</si>
  <si>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</si>
  <si>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</si>
  <si>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</si>
  <si>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</si>
  <si>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</si>
  <si>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</si>
  <si>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</si>
  <si>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</si>
  <si>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</si>
  <si>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</si>
  <si>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</si>
  <si>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</si>
  <si>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</si>
  <si>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</si>
  <si>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</si>
  <si>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</si>
  <si>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</si>
  <si>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</si>
  <si>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</si>
  <si>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</si>
  <si>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</si>
  <si>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</si>
  <si>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</si>
  <si>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</si>
  <si>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</si>
  <si>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</si>
  <si>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</si>
  <si>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</si>
  <si>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</si>
  <si>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</si>
  <si>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</si>
  <si>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</si>
  <si>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</si>
  <si>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</si>
  <si>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</si>
  <si>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</si>
  <si>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</si>
  <si>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</si>
  <si>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</si>
  <si>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</si>
  <si>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</si>
  <si>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</si>
  <si>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</si>
  <si>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</si>
  <si>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</si>
  <si>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</si>
  <si>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</si>
  <si>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</si>
  <si>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</si>
  <si>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</si>
  <si>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</si>
  <si>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</si>
  <si>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</si>
  <si>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</si>
  <si>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</si>
  <si>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</si>
  <si>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</si>
  <si>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</si>
  <si>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</si>
  <si>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</si>
  <si>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</si>
  <si>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</si>
  <si>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</si>
  <si>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</si>
  <si>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</si>
  <si>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</si>
  <si>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</si>
  <si>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</si>
  <si>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</si>
  <si>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</si>
  <si>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</si>
  <si>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</si>
  <si>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</si>
  <si>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</si>
  <si>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</si>
  <si>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</si>
  <si>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</si>
  <si>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</si>
  <si>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</si>
  <si>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</si>
  <si>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</si>
  <si>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</si>
  <si>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</si>
  <si>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</si>
  <si>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</si>
  <si>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</si>
  <si>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</si>
  <si>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</si>
  <si>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</si>
  <si>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</si>
  <si>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</si>
  <si>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</si>
  <si>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</si>
  <si>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</si>
  <si>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</si>
  <si>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</si>
  <si>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</si>
  <si>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</si>
  <si>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</si>
  <si>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</si>
  <si>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</si>
  <si>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</si>
  <si>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</si>
  <si>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</si>
  <si>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</si>
  <si>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</si>
  <si>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</si>
  <si>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</si>
  <si>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</si>
  <si>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</si>
  <si>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</si>
  <si>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</si>
  <si>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</si>
  <si>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</si>
  <si>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</si>
  <si>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</si>
  <si>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</si>
  <si>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</si>
  <si>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</si>
  <si>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</si>
  <si>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</si>
  <si>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</si>
  <si>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</si>
  <si>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</si>
  <si>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</si>
  <si>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</si>
  <si>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</si>
  <si>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</si>
  <si>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</si>
  <si>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</si>
  <si>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</si>
  <si>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</si>
  <si>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</si>
  <si>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</si>
  <si>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</si>
  <si>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</si>
  <si>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</si>
  <si>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</si>
  <si>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</si>
  <si>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</si>
  <si>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</si>
  <si>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</si>
  <si>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</si>
  <si>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</si>
  <si>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</si>
  <si>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</si>
  <si>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</si>
  <si>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</si>
  <si>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</si>
  <si>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</si>
  <si>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</si>
  <si>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</si>
  <si>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</si>
  <si>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</si>
  <si>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</si>
  <si>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</si>
  <si>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</si>
  <si>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</si>
  <si>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</si>
  <si>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</si>
  <si>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</si>
  <si>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</si>
  <si>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</si>
  <si>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</si>
  <si>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</si>
  <si>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</si>
  <si>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</si>
  <si>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</si>
  <si>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</si>
  <si>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</si>
  <si>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</si>
  <si>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</si>
  <si>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</si>
  <si>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</si>
  <si>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</si>
  <si>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</si>
  <si>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</si>
  <si>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</si>
  <si>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</si>
  <si>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</si>
  <si>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</si>
  <si>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</si>
  <si>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</si>
  <si>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</si>
  <si>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</si>
  <si>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</si>
  <si>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</si>
  <si>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</si>
  <si>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</si>
  <si>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</si>
  <si>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</si>
  <si>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</si>
  <si>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</si>
  <si>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</si>
  <si>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</si>
  <si>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</si>
  <si>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</si>
  <si>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</si>
  <si>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</si>
  <si>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</si>
  <si>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</si>
  <si>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</si>
  <si>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</si>
  <si>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</si>
  <si>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</si>
  <si>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</si>
  <si>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</si>
  <si>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</si>
  <si>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</si>
  <si>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</si>
  <si>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</si>
  <si>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</si>
  <si>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</si>
  <si>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</si>
  <si>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</si>
  <si>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</si>
  <si>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</si>
  <si>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</si>
  <si>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</si>
  <si>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</si>
  <si>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</si>
  <si>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</si>
  <si>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</si>
  <si>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</si>
  <si>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</si>
  <si>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</si>
  <si>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</si>
  <si>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</si>
  <si>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</si>
  <si>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</si>
  <si>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</si>
  <si>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</si>
  <si>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</si>
  <si>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</si>
  <si>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</si>
  <si>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</si>
  <si>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</si>
  <si>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</si>
  <si>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</si>
  <si>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</si>
  <si>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</si>
  <si>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</si>
  <si>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</si>
  <si>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</si>
  <si>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</si>
  <si>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</si>
  <si>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</si>
  <si>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</si>
  <si>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</si>
  <si>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</si>
  <si>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</si>
  <si>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</si>
  <si>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</si>
  <si>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</si>
  <si>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</si>
  <si>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</si>
  <si>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</si>
  <si>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</si>
  <si>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</si>
  <si>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</si>
  <si>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</si>
  <si>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</si>
  <si>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</si>
  <si>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</si>
  <si>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</si>
  <si>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</si>
  <si>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</si>
  <si>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</si>
  <si>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</si>
  <si>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</si>
  <si>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</si>
  <si>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</si>
  <si>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</si>
  <si>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</si>
  <si>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</si>
  <si>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</si>
  <si>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</si>
  <si>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</si>
  <si>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</si>
  <si>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</si>
  <si>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</si>
  <si>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</si>
  <si>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</si>
  <si>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</si>
  <si>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</si>
  <si>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</si>
  <si>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</si>
  <si>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</si>
  <si>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</si>
  <si>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</si>
  <si>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</si>
  <si>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</si>
  <si>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</si>
  <si>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</si>
  <si>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</si>
  <si>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</si>
  <si>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</si>
  <si>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</si>
  <si>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</si>
  <si>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</si>
  <si>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</si>
  <si>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</si>
  <si>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</si>
  <si>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</si>
  <si>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</si>
  <si>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</si>
  <si>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</si>
  <si>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</si>
  <si>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</si>
  <si>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</si>
  <si>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</si>
  <si>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</si>
  <si>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</si>
  <si>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</si>
  <si>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</si>
  <si>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</si>
  <si>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</si>
  <si>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</si>
  <si>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</si>
  <si>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</si>
  <si>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</si>
  <si>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</si>
  <si>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</si>
  <si>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</si>
  <si>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</si>
  <si>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</si>
  <si>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</si>
  <si>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</si>
  <si>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</si>
  <si>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</si>
  <si>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</si>
  <si>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</si>
  <si>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</si>
  <si>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</si>
  <si>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</si>
  <si>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</si>
  <si>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</si>
  <si>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</si>
  <si>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</si>
  <si>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</si>
  <si>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</si>
  <si>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</si>
  <si>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</si>
  <si>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</si>
  <si>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</si>
  <si>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</si>
  <si>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</si>
  <si>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</si>
  <si>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</si>
  <si>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</si>
  <si>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</si>
  <si>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</si>
  <si>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</si>
  <si>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</si>
  <si>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</si>
  <si>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</si>
  <si>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</si>
  <si>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</si>
  <si>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</si>
  <si>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</si>
  <si>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</si>
  <si>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</si>
  <si>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</si>
  <si>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</si>
  <si>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</si>
  <si>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</si>
  <si>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</si>
  <si>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</si>
  <si>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</si>
  <si>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</si>
  <si>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</si>
  <si>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</si>
  <si>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</si>
  <si>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</si>
  <si>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</si>
  <si>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</si>
  <si>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</si>
  <si>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</si>
  <si>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</si>
  <si>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</si>
  <si>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</si>
  <si>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</si>
  <si>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</si>
  <si>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</si>
  <si>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</si>
  <si>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</si>
  <si>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</si>
  <si>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</si>
  <si>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</si>
  <si>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</si>
  <si>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</si>
  <si>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</si>
  <si>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</si>
  <si>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</si>
  <si>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</si>
  <si>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</si>
  <si>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</si>
  <si>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</si>
  <si>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</si>
  <si>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</si>
  <si>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</si>
  <si>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</si>
  <si>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</si>
  <si>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</si>
  <si>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</si>
  <si>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</si>
  <si>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</si>
  <si>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</si>
  <si>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</si>
  <si>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</si>
  <si>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</si>
  <si>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</si>
  <si>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</si>
  <si>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</si>
  <si>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</si>
  <si>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</si>
  <si>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</si>
  <si>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</si>
  <si>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</si>
  <si>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</si>
  <si>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</si>
  <si>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</si>
  <si>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</si>
  <si>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</si>
  <si>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</si>
  <si>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</si>
  <si>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</si>
  <si>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</si>
  <si>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</si>
  <si>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</si>
  <si>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</si>
  <si>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</si>
  <si>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</si>
  <si>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</si>
  <si>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</si>
  <si>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</si>
  <si>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</si>
  <si>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</si>
  <si>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</si>
  <si>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</si>
  <si>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</si>
  <si>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</si>
  <si>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</si>
  <si>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</si>
  <si>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</si>
  <si>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</si>
  <si>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</si>
  <si>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</si>
  <si>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</si>
  <si>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</si>
  <si>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</si>
  <si>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</si>
  <si>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</si>
  <si>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</si>
  <si>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</si>
  <si>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</si>
  <si>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</si>
  <si>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</si>
  <si>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</si>
  <si>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</si>
  <si>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</si>
  <si>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</si>
  <si>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</si>
  <si>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</si>
  <si>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</si>
  <si>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</si>
  <si>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</si>
  <si>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</si>
  <si>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</si>
  <si>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</si>
  <si>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</si>
  <si>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</si>
  <si>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</si>
  <si>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</si>
  <si>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</si>
  <si>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</si>
  <si>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</si>
  <si>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</si>
  <si>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</si>
  <si>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</si>
  <si>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</si>
  <si>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</si>
  <si>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</si>
  <si>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</si>
  <si>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</si>
  <si>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</si>
  <si>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</si>
  <si>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</si>
  <si>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</si>
  <si>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</si>
  <si>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</si>
  <si>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</si>
  <si>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</si>
  <si>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</si>
  <si>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</si>
  <si>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</si>
  <si>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</si>
  <si>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</si>
  <si>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</si>
  <si>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</si>
  <si>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</si>
  <si>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</si>
  <si>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</si>
  <si>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</si>
  <si>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</si>
  <si>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</si>
  <si>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</si>
  <si>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</si>
  <si>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</si>
  <si>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</si>
  <si>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</si>
  <si>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</si>
  <si>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</si>
  <si>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</si>
  <si>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</si>
  <si>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</si>
  <si>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</si>
  <si>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</si>
  <si>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</si>
  <si>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</si>
  <si>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</si>
  <si>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</si>
  <si>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</si>
  <si>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</si>
  <si>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</si>
  <si>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</si>
  <si>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</si>
  <si>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</si>
  <si>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</si>
  <si>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</si>
  <si>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</si>
  <si>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</si>
  <si>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</si>
  <si>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</si>
  <si>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</si>
  <si>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</si>
  <si>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</si>
  <si>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</si>
  <si>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</si>
  <si>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</si>
  <si>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</si>
  <si>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</si>
  <si>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</si>
  <si>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</si>
  <si>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</si>
  <si>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</si>
  <si>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</si>
  <si>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</si>
  <si>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</si>
  <si>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</si>
  <si>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</si>
  <si>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</si>
  <si>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</si>
  <si>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</si>
  <si>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</si>
  <si>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</si>
  <si>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</si>
  <si>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</si>
  <si>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</si>
  <si>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</si>
  <si>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</si>
  <si>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</si>
  <si>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</si>
  <si>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</si>
  <si>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</si>
  <si>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</si>
  <si>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</si>
  <si>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</si>
  <si>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</si>
  <si>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</si>
  <si>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</si>
  <si>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</si>
  <si>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</si>
  <si>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</si>
  <si>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</si>
  <si>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</si>
  <si>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</si>
  <si>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</si>
  <si>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</si>
  <si>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</si>
  <si>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</si>
  <si>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</si>
  <si>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</si>
  <si>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</si>
  <si>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</si>
  <si>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</si>
  <si>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</si>
  <si>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</si>
  <si>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</si>
  <si>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</si>
  <si>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</si>
  <si>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</si>
  <si>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</si>
  <si>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</si>
  <si>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</si>
  <si>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</si>
  <si>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</si>
  <si>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</si>
  <si>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</si>
  <si>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</si>
  <si>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</si>
  <si>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</si>
  <si>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</si>
  <si>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</si>
  <si>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</si>
  <si>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</si>
  <si>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</si>
  <si>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</si>
  <si>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</si>
  <si>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</si>
  <si>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</si>
  <si>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</si>
  <si>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</si>
  <si>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</si>
  <si>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</si>
  <si>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</si>
  <si>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</si>
  <si>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</si>
  <si>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</si>
  <si>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</si>
  <si>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</si>
  <si>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</si>
  <si>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</si>
  <si>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</si>
  <si>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</si>
  <si>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</si>
  <si>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</si>
  <si>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</si>
  <si>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</si>
  <si>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</si>
  <si>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</si>
  <si>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</si>
  <si>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</si>
  <si>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</si>
  <si>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</si>
  <si>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</si>
  <si>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</si>
  <si>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</si>
  <si>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</si>
  <si>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</si>
  <si>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</si>
  <si>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</si>
  <si>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</si>
  <si>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</si>
  <si>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</si>
  <si>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</si>
  <si>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</si>
  <si>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</si>
  <si>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</si>
  <si>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</si>
  <si>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</si>
  <si>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</si>
  <si>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</si>
  <si>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</si>
  <si>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</si>
  <si>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</si>
  <si>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</si>
  <si>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</si>
  <si>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</si>
  <si>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</si>
  <si>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</si>
  <si>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</si>
  <si>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</si>
  <si>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</si>
  <si>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</si>
  <si>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</si>
  <si>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</si>
  <si>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</si>
  <si>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</si>
  <si>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</si>
  <si>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</si>
  <si>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</si>
  <si>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</si>
  <si>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</si>
  <si>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</si>
  <si>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</si>
  <si>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</si>
  <si>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</si>
  <si>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</si>
  <si>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</si>
  <si>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</si>
  <si>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</si>
  <si>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</si>
  <si>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</si>
  <si>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</si>
  <si>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</si>
  <si>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</si>
  <si>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</si>
  <si>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</si>
  <si>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</si>
  <si>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</si>
  <si>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</si>
  <si>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</si>
  <si>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</si>
  <si>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</si>
  <si>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</si>
  <si>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</si>
  <si>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</si>
  <si>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</si>
  <si>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</si>
  <si>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</si>
  <si>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</si>
  <si>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</si>
  <si>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</si>
  <si>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</si>
  <si>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</si>
  <si>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</si>
  <si>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</si>
  <si>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</si>
  <si>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</si>
  <si>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</si>
  <si>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</si>
  <si>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</si>
  <si>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</si>
  <si>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</si>
  <si>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</si>
  <si>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</si>
  <si>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</si>
  <si>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</si>
  <si>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</si>
  <si>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</si>
  <si>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</si>
  <si>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</si>
  <si>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</si>
  <si>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</si>
  <si>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</si>
  <si>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</si>
  <si>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</si>
  <si>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</si>
  <si>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</si>
  <si>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</si>
  <si>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</si>
  <si>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</si>
  <si>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</si>
  <si>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</si>
  <si>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</si>
  <si>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</si>
  <si>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</si>
  <si>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</si>
  <si>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</si>
  <si>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</si>
  <si>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</si>
  <si>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</si>
  <si>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</si>
  <si>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</si>
  <si>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</si>
  <si>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</si>
  <si>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</si>
  <si>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</si>
  <si>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</si>
  <si>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</si>
  <si>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</si>
  <si>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</si>
  <si>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</si>
  <si>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</si>
  <si>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</si>
  <si>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</si>
  <si>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</si>
  <si>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</si>
  <si>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</si>
  <si>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</si>
  <si>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</si>
  <si>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</si>
  <si>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</si>
  <si>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</si>
  <si>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</si>
  <si>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</si>
  <si>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</si>
  <si>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</si>
  <si>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</si>
  <si>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</si>
  <si>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</si>
  <si>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</si>
  <si>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</si>
  <si>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</si>
  <si>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</si>
  <si>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</si>
  <si>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</si>
  <si>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</si>
  <si>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</si>
  <si>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</si>
  <si>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</si>
  <si>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</si>
  <si>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</si>
  <si>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</si>
  <si>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</si>
  <si>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</si>
  <si>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</si>
  <si>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</si>
  <si>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</si>
  <si>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</si>
  <si>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</si>
  <si>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</si>
  <si>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</si>
  <si>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</si>
  <si>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</si>
  <si>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</si>
  <si>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</si>
  <si>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</si>
  <si>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</si>
  <si>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</si>
  <si>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</si>
  <si>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</si>
  <si>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</si>
  <si>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</si>
  <si>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</si>
  <si>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</si>
  <si>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</si>
  <si>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</si>
  <si>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</si>
  <si>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</si>
  <si>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</si>
  <si>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</si>
  <si>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</si>
  <si>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</si>
  <si>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</si>
  <si>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</si>
  <si>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</si>
  <si>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</si>
  <si>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</si>
  <si>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</si>
  <si>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</si>
  <si>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</si>
  <si>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</si>
  <si>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</si>
  <si>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</si>
  <si>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</si>
  <si>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</si>
  <si>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</si>
  <si>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</si>
  <si>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</si>
  <si>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</si>
  <si>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</si>
  <si>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</si>
  <si>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</si>
  <si>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</si>
  <si>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</si>
  <si>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</si>
  <si>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</si>
  <si>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</si>
  <si>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</si>
  <si>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</si>
  <si>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</si>
  <si>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</si>
  <si>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</si>
  <si>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</si>
  <si>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</si>
  <si>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</si>
  <si>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</si>
  <si>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</si>
  <si>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</si>
  <si>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</si>
  <si>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</si>
  <si>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</si>
  <si>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</si>
  <si>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</si>
  <si>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</si>
  <si>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</si>
  <si>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</si>
  <si>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</si>
  <si>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</si>
  <si>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</si>
  <si>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</si>
  <si>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</si>
  <si>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</si>
  <si>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</si>
  <si>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</si>
  <si>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</si>
  <si>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</si>
  <si>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</si>
  <si>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</si>
  <si>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</si>
  <si>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</si>
  <si>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</si>
  <si>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</si>
  <si>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</si>
  <si>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</si>
  <si>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</si>
  <si>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</si>
  <si>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</si>
  <si>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</si>
  <si>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</si>
  <si>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</si>
  <si>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</si>
  <si>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</si>
  <si>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</si>
  <si>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</si>
  <si>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</si>
  <si>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</si>
  <si>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</si>
  <si>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</si>
  <si>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</si>
  <si>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</si>
  <si>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</si>
  <si>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</si>
  <si>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</si>
  <si>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</si>
  <si>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</si>
  <si>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</si>
  <si>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</si>
  <si>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</si>
  <si>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</si>
  <si>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</si>
  <si>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</si>
  <si>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</si>
  <si>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</si>
  <si>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</si>
  <si>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</si>
  <si>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</si>
  <si>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</si>
  <si>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</si>
  <si>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</si>
  <si>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</si>
  <si>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</si>
  <si>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</si>
  <si>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</si>
  <si>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</si>
  <si>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</si>
  <si>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</si>
  <si>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</si>
  <si>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</si>
  <si>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</si>
  <si>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</si>
  <si>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</si>
  <si>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</si>
  <si>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</si>
  <si>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</si>
  <si>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</si>
  <si>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</si>
  <si>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</si>
  <si>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</si>
  <si>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</si>
  <si>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</si>
  <si>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</si>
  <si>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</si>
  <si>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</si>
  <si>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</si>
  <si>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</si>
  <si>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</si>
  <si>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</si>
  <si>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</si>
  <si>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</si>
  <si>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</si>
  <si>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</si>
  <si>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</si>
  <si>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</si>
  <si>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</si>
  <si>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</si>
  <si>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</si>
  <si>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</si>
  <si>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</si>
  <si>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</si>
  <si>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</si>
  <si>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</si>
  <si>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</si>
  <si>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</si>
  <si>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</si>
  <si>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</si>
  <si>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</si>
  <si>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</si>
  <si>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</si>
  <si>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</si>
  <si>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</si>
  <si>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</si>
  <si>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</si>
  <si>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</si>
  <si>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</si>
  <si>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</si>
  <si>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</si>
  <si>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</si>
  <si>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</si>
  <si>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</si>
  <si>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</si>
  <si>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</si>
  <si>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</si>
  <si>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</si>
  <si>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</si>
  <si>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</si>
  <si>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</si>
  <si>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</si>
  <si>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</si>
  <si>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</si>
  <si>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</si>
  <si>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</si>
  <si>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</si>
  <si>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</si>
  <si>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</si>
  <si>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</si>
  <si>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</si>
  <si>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</si>
  <si>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</si>
  <si>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</si>
  <si>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</si>
  <si>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</si>
  <si>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</si>
  <si>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</si>
  <si>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</si>
  <si>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</si>
  <si>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</si>
  <si>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</si>
  <si>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</si>
  <si>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</si>
  <si>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</si>
  <si>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</si>
  <si>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</si>
  <si>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</si>
  <si>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</si>
  <si>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</si>
  <si>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</si>
  <si>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</si>
  <si>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</si>
  <si>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</si>
  <si>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</si>
  <si>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</si>
  <si>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</si>
  <si>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</si>
  <si>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</si>
  <si>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</si>
  <si>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</si>
  <si>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</si>
  <si>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</si>
  <si>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</si>
  <si>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</si>
  <si>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</si>
  <si>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</si>
  <si>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</si>
  <si>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</si>
  <si>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</si>
  <si>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</si>
  <si>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</si>
  <si>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</si>
  <si>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</si>
  <si>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</si>
  <si>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</si>
  <si>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</si>
  <si>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</si>
  <si>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</si>
  <si>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</si>
  <si>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</si>
  <si>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</si>
  <si>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</si>
  <si>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</si>
  <si>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</si>
  <si>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</si>
  <si>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</si>
  <si>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</si>
  <si>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</si>
  <si>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</si>
  <si>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</si>
  <si>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</si>
  <si>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</si>
  <si>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</si>
  <si>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</si>
  <si>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</si>
  <si>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</si>
  <si>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</si>
  <si>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</si>
  <si>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</si>
  <si>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</si>
  <si>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</si>
  <si>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</si>
  <si>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</si>
  <si>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</si>
  <si>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</si>
  <si>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</si>
  <si>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</si>
  <si>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</si>
  <si>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</si>
  <si>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</si>
  <si>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</si>
  <si>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</si>
  <si>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</si>
  <si>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</si>
  <si>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</si>
  <si>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</si>
  <si>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</si>
  <si>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</si>
  <si>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</si>
  <si>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</si>
  <si>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</si>
  <si>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</si>
  <si>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</si>
  <si>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</si>
  <si>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</si>
  <si>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</si>
  <si>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</si>
  <si>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</si>
  <si>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</si>
  <si>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</si>
  <si>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</si>
  <si>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</si>
  <si>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</si>
  <si>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</si>
  <si>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</si>
  <si>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</si>
  <si>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</si>
  <si>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</si>
  <si>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</si>
  <si>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</si>
  <si>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</si>
  <si>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</si>
  <si>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</si>
  <si>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</si>
  <si>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</si>
  <si>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</si>
  <si>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</si>
  <si>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</si>
  <si>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</si>
  <si>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</si>
  <si>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</si>
  <si>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</si>
  <si>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</si>
  <si>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</si>
  <si>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</si>
  <si>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</si>
  <si>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</si>
  <si>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</si>
  <si>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</si>
  <si>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</si>
  <si>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</si>
  <si>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</si>
  <si>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</si>
  <si>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</si>
  <si>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</si>
  <si>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</si>
  <si>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</si>
  <si>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</si>
  <si>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</si>
  <si>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</si>
  <si>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</si>
  <si>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</si>
  <si>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</si>
  <si>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</si>
  <si>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</si>
  <si>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</si>
  <si>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</si>
  <si>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</si>
  <si>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</si>
  <si>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</si>
  <si>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</si>
  <si>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</si>
  <si>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</si>
  <si>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</si>
  <si>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</si>
  <si>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</si>
  <si>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</si>
  <si>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</si>
  <si>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</si>
  <si>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</si>
  <si>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</si>
  <si>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</si>
  <si>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</si>
  <si>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</si>
  <si>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</si>
  <si>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</si>
  <si>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</si>
  <si>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</si>
  <si>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</si>
  <si>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</si>
  <si>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</si>
  <si>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</si>
  <si>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</si>
  <si>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</si>
  <si>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</si>
  <si>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</si>
  <si>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</si>
  <si>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</si>
  <si>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</si>
  <si>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</si>
  <si>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</si>
  <si>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</si>
  <si>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</si>
  <si>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</si>
  <si>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</si>
  <si>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</si>
  <si>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</si>
  <si>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</si>
  <si>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</si>
  <si>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</si>
  <si>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</si>
  <si>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</si>
  <si>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</si>
  <si>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</si>
  <si>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</si>
  <si>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</si>
  <si>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</si>
  <si>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</si>
  <si>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</si>
  <si>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</si>
  <si>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</si>
  <si>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</si>
  <si>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</si>
  <si>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</si>
  <si>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</si>
  <si>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</si>
  <si>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</si>
  <si>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</si>
  <si>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</si>
  <si>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</si>
  <si>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</si>
  <si>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</si>
  <si>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</si>
  <si>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</si>
  <si>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</si>
  <si>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</si>
  <si>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</si>
  <si>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</si>
  <si>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</si>
  <si>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</si>
  <si>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</si>
  <si>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</si>
  <si>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</si>
  <si>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</si>
  <si>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</si>
  <si>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</si>
  <si>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</si>
  <si>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</si>
  <si>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</si>
  <si>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</si>
  <si>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</si>
  <si>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</si>
  <si>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</si>
  <si>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</si>
  <si>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</si>
  <si>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</si>
  <si>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</si>
  <si>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</si>
  <si>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</si>
  <si>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</si>
  <si>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</si>
  <si>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</si>
  <si>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</si>
  <si>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</si>
  <si>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</si>
  <si>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</si>
  <si>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</si>
  <si>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</si>
  <si>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</si>
  <si>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</si>
  <si>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</si>
  <si>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</si>
  <si>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</si>
  <si>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</si>
  <si>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</si>
  <si>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</si>
  <si>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</si>
  <si>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</si>
  <si>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</si>
  <si>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</si>
  <si>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</si>
  <si>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</si>
  <si>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</si>
  <si>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</si>
  <si>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</si>
  <si>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</si>
  <si>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</si>
  <si>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</si>
  <si>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</si>
  <si>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</si>
  <si>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</si>
  <si>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</si>
  <si>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</si>
  <si>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</si>
  <si>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</si>
  <si>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</si>
  <si>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</si>
  <si>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</si>
  <si>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</si>
  <si>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</si>
  <si>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</si>
  <si>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</si>
  <si>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</si>
  <si>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</si>
  <si>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</si>
  <si>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</si>
  <si>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</si>
  <si>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</si>
  <si>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</si>
  <si>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</si>
  <si>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</si>
  <si>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</si>
  <si>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</si>
  <si>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</si>
  <si>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</si>
  <si>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</si>
  <si>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</si>
  <si>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</si>
  <si>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</si>
  <si>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</si>
  <si>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</si>
  <si>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</si>
  <si>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</si>
  <si>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</si>
  <si>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</si>
  <si>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</si>
  <si>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</si>
  <si>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</si>
  <si>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</si>
  <si>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</si>
  <si>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</si>
  <si>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</si>
  <si>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</si>
  <si>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</si>
  <si>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</si>
  <si>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</si>
  <si>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</si>
  <si>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</si>
  <si>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</si>
  <si>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</si>
  <si>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</si>
  <si>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</si>
  <si>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</si>
  <si>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</si>
  <si>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</si>
  <si>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</si>
  <si>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</si>
  <si>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</si>
  <si>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</si>
  <si>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</si>
  <si>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</si>
  <si>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</si>
  <si>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</si>
  <si>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</si>
  <si>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</si>
  <si>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</si>
  <si>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</si>
  <si>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</si>
  <si>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</si>
  <si>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</si>
  <si>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</si>
  <si>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</si>
  <si>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</si>
  <si>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</si>
  <si>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</si>
  <si>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</si>
  <si>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</si>
  <si>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</si>
  <si>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</si>
  <si>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</si>
  <si>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</si>
  <si>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</si>
  <si>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</si>
  <si>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</si>
  <si>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</si>
  <si>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</si>
  <si>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</si>
  <si>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</si>
  <si>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</si>
  <si>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</si>
  <si>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</si>
  <si>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</si>
  <si>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</si>
  <si>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</si>
  <si>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</si>
  <si>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</si>
  <si>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</si>
  <si>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</si>
  <si>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</si>
  <si>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</si>
  <si>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</si>
  <si>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</si>
  <si>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</si>
  <si>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</si>
  <si>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</si>
  <si>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</si>
  <si>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</si>
  <si>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</si>
  <si>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</si>
  <si>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</si>
  <si>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</si>
  <si>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</si>
  <si>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</si>
  <si>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</si>
  <si>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</si>
  <si>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</si>
  <si>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</si>
  <si>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</si>
  <si>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</si>
  <si>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</si>
  <si>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</si>
  <si>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</si>
  <si>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</si>
  <si>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</si>
  <si>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</si>
  <si>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</si>
  <si>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</si>
  <si>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</si>
  <si>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</si>
  <si>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</si>
  <si>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</si>
  <si>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</si>
  <si>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</si>
  <si>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</si>
  <si>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</si>
  <si>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</si>
  <si>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</si>
  <si>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</si>
  <si>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</si>
  <si>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</si>
  <si>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</si>
  <si>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</si>
  <si>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</si>
  <si>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</si>
  <si>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</si>
  <si>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</si>
  <si>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</si>
  <si>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</si>
  <si>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</si>
  <si>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</si>
  <si>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</si>
  <si>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</si>
  <si>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</si>
  <si>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</si>
  <si>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</si>
  <si>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</si>
  <si>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</si>
  <si>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</si>
  <si>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</si>
  <si>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</si>
  <si>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</si>
  <si>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</si>
  <si>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</si>
  <si>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</si>
  <si>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</si>
  <si>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</si>
  <si>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</si>
  <si>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</si>
  <si>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</si>
  <si>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</si>
  <si>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</si>
  <si>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</si>
  <si>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</si>
  <si>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</si>
  <si>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</si>
  <si>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</si>
  <si>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</si>
  <si>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</si>
  <si>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</si>
  <si>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</si>
  <si>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</si>
  <si>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</si>
  <si>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</si>
  <si>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</si>
  <si>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</si>
  <si>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</si>
  <si>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</si>
  <si>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</si>
  <si>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</si>
  <si>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</si>
  <si>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</si>
  <si>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</si>
  <si>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</si>
  <si>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</si>
  <si>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</si>
  <si>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</si>
  <si>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</si>
  <si>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</si>
  <si>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</si>
  <si>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</si>
  <si>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</si>
  <si>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</si>
  <si>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</si>
  <si>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</si>
  <si>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</si>
  <si>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</si>
  <si>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</si>
  <si>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</si>
  <si>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</si>
  <si>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</si>
  <si>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</si>
  <si>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</si>
  <si>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</si>
  <si>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</si>
  <si>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</si>
  <si>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</si>
  <si>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</si>
  <si>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</si>
  <si>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</si>
  <si>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</si>
  <si>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</si>
  <si>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</si>
  <si>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</si>
  <si>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</si>
  <si>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</si>
  <si>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</si>
  <si>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</si>
  <si>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</si>
  <si>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</si>
  <si>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</si>
  <si>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</si>
  <si>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</si>
  <si>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</si>
  <si>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</si>
  <si>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</si>
  <si>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</si>
  <si>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</si>
  <si>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</si>
  <si>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</si>
  <si>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</si>
  <si>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</si>
  <si>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</si>
  <si>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</si>
  <si>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</si>
  <si>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</si>
  <si>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</si>
  <si>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</si>
  <si>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</si>
  <si>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</si>
  <si>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</si>
  <si>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</si>
  <si>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</si>
  <si>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</si>
  <si>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</si>
  <si>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</si>
  <si>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</si>
  <si>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</si>
  <si>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</si>
  <si>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</si>
  <si>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</si>
  <si>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</si>
  <si>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</si>
  <si>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</si>
  <si>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</si>
  <si>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</si>
  <si>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</si>
  <si>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</si>
  <si>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</si>
  <si>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</si>
  <si>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</si>
  <si>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</si>
  <si>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</si>
  <si>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</si>
  <si>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</si>
  <si>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</si>
  <si>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</si>
  <si>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</si>
  <si>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</si>
  <si>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</si>
  <si>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</si>
  <si>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</si>
  <si>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</si>
  <si>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</si>
  <si>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</si>
  <si>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</si>
  <si>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</si>
  <si>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</si>
  <si>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</si>
  <si>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</si>
  <si>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</si>
  <si>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</si>
  <si>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</si>
  <si>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</si>
  <si>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</si>
  <si>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</si>
  <si>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</si>
  <si>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</si>
  <si>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</si>
  <si>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</si>
  <si>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</si>
  <si>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</si>
  <si>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</si>
  <si>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</si>
  <si>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</si>
  <si>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</si>
  <si>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</si>
  <si>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</si>
  <si>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</si>
  <si>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</si>
  <si>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</si>
  <si>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</si>
  <si>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</si>
  <si>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</si>
  <si>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</si>
  <si>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</si>
  <si>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</si>
  <si>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</si>
  <si>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</si>
  <si>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</si>
  <si>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</si>
  <si>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</si>
  <si>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</si>
  <si>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</si>
  <si>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</si>
  <si>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</si>
  <si>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</si>
  <si>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</si>
  <si>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</si>
  <si>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</si>
  <si>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</si>
  <si>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</si>
  <si>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</si>
  <si>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</si>
  <si>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</si>
  <si>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</si>
  <si>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</si>
  <si>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</si>
  <si>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</si>
  <si>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</si>
  <si>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</si>
  <si>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</si>
  <si>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</si>
  <si>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</si>
  <si>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</si>
  <si>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</si>
  <si>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</si>
  <si>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</si>
  <si>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</si>
  <si>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</si>
  <si>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</si>
  <si>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</si>
  <si>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</si>
  <si>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</si>
  <si>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</si>
  <si>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</si>
  <si>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</si>
  <si>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</si>
  <si>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</si>
  <si>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</si>
  <si>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</si>
  <si>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</si>
  <si>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</si>
  <si>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</si>
  <si>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</si>
  <si>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</si>
  <si>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</si>
  <si>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</si>
  <si>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</si>
  <si>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</si>
  <si>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</si>
  <si>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</si>
  <si>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</si>
  <si>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</si>
  <si>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</si>
  <si>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</si>
  <si>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</si>
  <si>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</si>
  <si>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</si>
  <si>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</si>
  <si>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</si>
  <si>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</si>
  <si>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</si>
  <si>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</si>
  <si>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</si>
  <si>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</si>
  <si>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</si>
  <si>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</si>
  <si>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</si>
  <si>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</si>
  <si>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</si>
  <si>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</si>
  <si>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</si>
  <si>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</si>
  <si>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</si>
  <si>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</si>
  <si>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</si>
  <si>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</si>
  <si>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</si>
  <si>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</si>
  <si>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</si>
  <si>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</si>
  <si>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</si>
  <si>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</si>
  <si>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</si>
  <si>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</si>
  <si>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</si>
  <si>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</si>
  <si>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</si>
  <si>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</si>
  <si>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</si>
  <si>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</si>
  <si>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</si>
  <si>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</si>
  <si>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</si>
  <si>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</si>
  <si>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</si>
  <si>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</si>
  <si>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</si>
  <si>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</si>
  <si>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</si>
  <si>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</si>
  <si>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</si>
  <si>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</si>
  <si>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</si>
  <si>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</si>
  <si>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</si>
  <si>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</si>
  <si>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</si>
  <si>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</si>
  <si>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</si>
  <si>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</si>
  <si>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</si>
  <si>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</si>
  <si>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</si>
  <si>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</si>
  <si>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</si>
  <si>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</si>
  <si>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</si>
  <si>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</si>
  <si>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</si>
  <si>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</si>
  <si>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</si>
  <si>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</si>
  <si>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</si>
  <si>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</si>
  <si>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</si>
  <si>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</si>
  <si>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</si>
  <si>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</si>
  <si>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</si>
  <si>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</si>
  <si>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</si>
  <si>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</si>
  <si>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</si>
  <si>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</si>
  <si>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</si>
  <si>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</si>
  <si>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</si>
  <si>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</si>
  <si>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</si>
  <si>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</si>
  <si>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</si>
  <si>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</si>
  <si>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</si>
  <si>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</si>
  <si>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</si>
  <si>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</si>
  <si>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</si>
  <si>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</si>
  <si>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</si>
  <si>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</si>
  <si>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</si>
  <si>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</si>
  <si>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</si>
  <si>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</si>
  <si>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</si>
  <si>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</si>
  <si>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</si>
  <si>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</si>
  <si>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</si>
  <si>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</si>
  <si>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</si>
  <si>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</si>
  <si>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</si>
  <si>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</si>
  <si>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</si>
  <si>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</si>
  <si>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</si>
  <si>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</si>
  <si>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</si>
  <si>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</si>
  <si>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</si>
  <si>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</si>
  <si>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</si>
  <si>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</si>
  <si>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</si>
  <si>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</si>
  <si>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</si>
  <si>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</si>
  <si>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</si>
  <si>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</si>
  <si>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</si>
  <si>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</si>
  <si>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</si>
  <si>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</si>
  <si>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</si>
  <si>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</si>
  <si>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</si>
  <si>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</si>
  <si>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</si>
  <si>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</si>
  <si>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</si>
  <si>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</si>
  <si>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</si>
  <si>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</si>
  <si>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</si>
  <si>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</si>
  <si>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</si>
  <si>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</si>
  <si>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</si>
  <si>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</si>
  <si>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</si>
  <si>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</si>
  <si>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</si>
  <si>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</si>
  <si>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</si>
  <si>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</si>
  <si>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</si>
  <si>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</si>
  <si>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</si>
  <si>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</si>
  <si>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</si>
  <si>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</si>
  <si>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</si>
  <si>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</si>
  <si>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</si>
  <si>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</si>
  <si>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</si>
  <si>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</si>
  <si>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</si>
  <si>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</si>
  <si>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</si>
  <si>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</si>
  <si>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</si>
  <si>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</si>
  <si>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</si>
  <si>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</si>
  <si>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</si>
  <si>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</si>
  <si>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</si>
  <si>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</si>
  <si>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</si>
  <si>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</si>
  <si>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</si>
  <si>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</si>
  <si>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</si>
  <si>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</si>
  <si>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</si>
  <si>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</si>
  <si>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</si>
  <si>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</si>
  <si>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</si>
  <si>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</si>
  <si>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</si>
  <si>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</si>
  <si>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</si>
  <si>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</si>
  <si>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</si>
  <si>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</si>
  <si>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</si>
  <si>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</si>
  <si>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</si>
  <si>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</si>
  <si>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</si>
  <si>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</si>
  <si>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</si>
  <si>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</si>
  <si>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</si>
  <si>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</si>
  <si>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</si>
  <si>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</si>
  <si>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</si>
  <si>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</si>
  <si>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</si>
  <si>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</si>
  <si>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</si>
  <si>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</si>
  <si>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</si>
  <si>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</si>
  <si>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</si>
  <si>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</si>
  <si>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</si>
  <si>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</si>
  <si>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</si>
  <si>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</si>
  <si>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</si>
  <si>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</si>
  <si>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</si>
  <si>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</si>
  <si>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</si>
  <si>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</si>
  <si>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</si>
  <si>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</si>
  <si>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</si>
  <si>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</si>
  <si>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</si>
  <si>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</si>
  <si>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</si>
  <si>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</si>
  <si>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</si>
  <si>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</si>
  <si>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</si>
  <si>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</si>
  <si>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</si>
  <si>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</si>
  <si>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</si>
  <si>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</si>
  <si>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</si>
  <si>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</si>
  <si>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</si>
  <si>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</si>
  <si>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</si>
  <si>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</si>
  <si>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</si>
  <si>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</si>
  <si>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</si>
  <si>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</si>
  <si>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</si>
  <si>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</si>
  <si>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</si>
  <si>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</si>
  <si>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</si>
  <si>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</si>
  <si>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</si>
  <si>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</si>
  <si>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</si>
  <si>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</si>
  <si>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</si>
  <si>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</si>
  <si>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</si>
  <si>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</si>
  <si>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</si>
  <si>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</si>
  <si>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</si>
  <si>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</si>
  <si>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</si>
  <si>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</si>
  <si>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</si>
  <si>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</si>
  <si>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</si>
  <si>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</si>
  <si>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</si>
  <si>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</si>
  <si>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</si>
  <si>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</si>
  <si>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</si>
  <si>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</si>
  <si>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</si>
  <si>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</si>
  <si>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</si>
  <si>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</si>
  <si>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</si>
  <si>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</si>
  <si>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</si>
  <si>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</si>
  <si>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</si>
  <si>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</si>
  <si>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</si>
  <si>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</si>
  <si>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</si>
  <si>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</si>
  <si>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</si>
  <si>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</si>
  <si>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</si>
  <si>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</si>
  <si>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</si>
  <si>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</si>
  <si>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</si>
  <si>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</si>
  <si>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</si>
  <si>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</si>
  <si>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</si>
  <si>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</si>
  <si>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</si>
  <si>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</si>
  <si>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</si>
  <si>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</si>
  <si>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</si>
  <si>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</si>
  <si>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</si>
  <si>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</si>
  <si>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</si>
  <si>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</si>
  <si>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</si>
  <si>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</si>
  <si>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</si>
  <si>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</si>
  <si>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</si>
  <si>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</si>
  <si>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</si>
  <si>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</si>
  <si>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</si>
  <si>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</si>
  <si>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</si>
  <si>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</si>
  <si>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</si>
  <si>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</si>
  <si>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</si>
  <si>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</si>
  <si>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</si>
  <si>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</si>
  <si>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</si>
  <si>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</si>
  <si>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</si>
  <si>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</si>
  <si>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</si>
  <si>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</si>
  <si>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</si>
  <si>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</si>
  <si>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</si>
  <si>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</si>
  <si>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</si>
  <si>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</si>
  <si>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</si>
  <si>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</si>
  <si>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</si>
  <si>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</si>
  <si>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</si>
  <si>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</si>
  <si>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</si>
  <si>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</si>
  <si>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</si>
  <si>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</si>
  <si>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</si>
  <si>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</si>
  <si>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</si>
  <si>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</si>
  <si>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</si>
  <si>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</si>
  <si>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</si>
  <si>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</si>
  <si>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</si>
  <si>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</si>
  <si>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</si>
  <si>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</si>
  <si>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</si>
  <si>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</si>
  <si>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</si>
  <si>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</si>
  <si>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</si>
  <si>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</si>
  <si>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</si>
  <si>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</si>
  <si>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</si>
  <si>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</si>
  <si>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</si>
  <si>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</si>
  <si>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</si>
  <si>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</si>
  <si>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</si>
  <si>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</si>
  <si>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</si>
  <si>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</si>
  <si>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</si>
  <si>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</si>
  <si>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</si>
  <si>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</si>
  <si>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</si>
  <si>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</si>
  <si>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</si>
  <si>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</si>
  <si>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</si>
  <si>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</si>
  <si>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</si>
  <si>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</si>
  <si>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</si>
  <si>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</si>
  <si>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</si>
  <si>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</si>
  <si>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</si>
  <si>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</si>
  <si>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</si>
  <si>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</si>
  <si>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</si>
  <si>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</si>
  <si>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</si>
  <si>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</si>
  <si>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</si>
  <si>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</si>
  <si>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</si>
  <si>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</si>
  <si>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</si>
  <si>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</si>
  <si>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</si>
  <si>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</si>
  <si>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</si>
  <si>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</si>
  <si>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</si>
  <si>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</si>
  <si>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</si>
  <si>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</si>
  <si>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</si>
  <si>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</si>
  <si>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</si>
  <si>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</si>
  <si>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</si>
  <si>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</si>
  <si>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</si>
  <si>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</si>
  <si>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</si>
  <si>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</si>
  <si>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</si>
  <si>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</si>
  <si>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</si>
  <si>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</si>
  <si>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</si>
  <si>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</si>
  <si>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</si>
  <si>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</si>
  <si>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</si>
  <si>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</si>
  <si>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</si>
  <si>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</si>
  <si>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</si>
  <si>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</si>
  <si>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</si>
  <si>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</si>
  <si>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</si>
  <si>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</si>
  <si>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</si>
  <si>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</si>
  <si>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</si>
  <si>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</si>
  <si>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</si>
  <si>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</si>
  <si>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</si>
  <si>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</si>
  <si>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</si>
  <si>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</si>
  <si>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</si>
  <si>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</si>
  <si>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</si>
  <si>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</si>
  <si>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</si>
  <si>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</si>
  <si>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</si>
  <si>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</si>
  <si>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</si>
  <si>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</si>
  <si>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</si>
  <si>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</si>
  <si>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</si>
  <si>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</si>
  <si>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</si>
  <si>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</si>
  <si>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</si>
  <si>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</si>
  <si>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</si>
  <si>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</si>
  <si>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</si>
  <si>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</si>
  <si>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</si>
  <si>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</si>
  <si>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</si>
  <si>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</si>
  <si>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</si>
  <si>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</si>
  <si>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</si>
  <si>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</si>
  <si>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</si>
  <si>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</si>
  <si>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</si>
  <si>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</si>
  <si>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</si>
  <si>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</si>
  <si>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</si>
  <si>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</si>
  <si>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</si>
  <si>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</si>
  <si>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</si>
  <si>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</si>
  <si>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</si>
  <si>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</si>
  <si>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</si>
  <si>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</si>
  <si>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</si>
  <si>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</si>
  <si>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</si>
  <si>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</si>
  <si>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</si>
  <si>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</si>
  <si>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</si>
  <si>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</si>
  <si>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</si>
  <si>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</si>
  <si>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</si>
  <si>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</si>
  <si>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</si>
  <si>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</si>
  <si>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</si>
  <si>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</si>
  <si>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</si>
  <si>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</si>
  <si>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</si>
  <si>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</si>
  <si>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</si>
  <si>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</si>
  <si>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</si>
  <si>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</si>
  <si>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</si>
  <si>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</si>
  <si>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</si>
  <si>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</si>
  <si>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</si>
  <si>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</si>
  <si>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</si>
  <si>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</si>
  <si>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</si>
  <si>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</si>
  <si>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</si>
  <si>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</si>
  <si>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</si>
  <si>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</si>
  <si>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</si>
  <si>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</si>
  <si>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</si>
  <si>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</si>
  <si>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</si>
  <si>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</si>
  <si>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</si>
  <si>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</si>
  <si>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</si>
  <si>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</si>
  <si>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</si>
  <si>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</si>
  <si>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</si>
  <si>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</si>
  <si>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</si>
  <si>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</si>
  <si>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</si>
  <si>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</si>
  <si>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</si>
  <si>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</si>
  <si>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</si>
  <si>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</si>
  <si>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</si>
  <si>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</si>
  <si>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</si>
  <si>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</si>
  <si>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</si>
  <si>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</si>
  <si>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</si>
  <si>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</si>
  <si>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</si>
  <si>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</si>
  <si>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</si>
  <si>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</si>
  <si>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</si>
  <si>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</si>
  <si>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</si>
  <si>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</si>
  <si>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</si>
  <si>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</si>
  <si>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</si>
  <si>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</si>
  <si>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</si>
  <si>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</si>
  <si>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</si>
  <si>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</si>
  <si>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</si>
  <si>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</si>
  <si>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</si>
  <si>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</si>
  <si>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</si>
  <si>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</si>
  <si>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</si>
  <si>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</si>
  <si>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</si>
  <si>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</si>
  <si>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</si>
  <si>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</si>
  <si>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</si>
  <si>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</si>
  <si>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</si>
  <si>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</si>
  <si>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</si>
  <si>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</si>
  <si>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</si>
  <si>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</si>
  <si>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</si>
  <si>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</si>
  <si>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</si>
  <si>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</si>
  <si>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</si>
  <si>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</si>
  <si>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</si>
  <si>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</si>
  <si>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</si>
  <si>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</si>
  <si>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</si>
  <si>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</si>
  <si>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</si>
  <si>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</si>
  <si>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</si>
  <si>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</si>
  <si>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</si>
  <si>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</si>
  <si>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</si>
  <si>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</si>
  <si>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</si>
  <si>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</si>
  <si>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</si>
  <si>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</si>
  <si>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</si>
  <si>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</si>
  <si>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</si>
  <si>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</si>
  <si>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</si>
  <si>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</si>
  <si>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</si>
  <si>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</si>
  <si>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</si>
  <si>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</si>
  <si>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</si>
  <si>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</si>
  <si>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</si>
  <si>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</si>
  <si>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</si>
  <si>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</si>
  <si>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</si>
  <si>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</si>
  <si>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</si>
  <si>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</si>
  <si>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</si>
  <si>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</si>
  <si>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</si>
  <si>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</si>
  <si>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</si>
  <si>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</si>
  <si>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</si>
  <si>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</si>
  <si>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</si>
  <si>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</si>
  <si>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</si>
  <si>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</si>
  <si>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</si>
  <si>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</si>
  <si>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</si>
  <si>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情况4</t>
  </si>
  <si>
    <t>转让取得</t>
  </si>
  <si>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</si>
  <si>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</si>
  <si>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</si>
  <si>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</si>
  <si>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</si>
  <si>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</si>
  <si>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</si>
  <si>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</si>
  <si>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</si>
  <si>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</si>
  <si>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</si>
  <si>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</si>
  <si>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</si>
  <si>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t>3-501</t>
    <phoneticPr fontId="144" type="noConversion"/>
  </si>
  <si>
    <t>3-502</t>
  </si>
  <si>
    <t>3-503</t>
  </si>
  <si>
    <r>
      <t>3-505</t>
    </r>
    <r>
      <rPr>
        <sz val="11"/>
        <color theme="1"/>
        <rFont val="宋体"/>
        <family val="2"/>
        <charset val="134"/>
        <scheme val="minor"/>
      </rPr>
      <t/>
    </r>
    <phoneticPr fontId="144" type="noConversion"/>
  </si>
  <si>
    <t>3-506</t>
  </si>
  <si>
    <t>3-507</t>
  </si>
  <si>
    <t>3-1601</t>
  </si>
  <si>
    <t>3-1601</t>
    <phoneticPr fontId="144" type="noConversion"/>
  </si>
  <si>
    <t>3-1602</t>
  </si>
  <si>
    <t>3-1603</t>
  </si>
  <si>
    <t>3-1605</t>
    <phoneticPr fontId="144" type="noConversion"/>
  </si>
  <si>
    <t>2-1801</t>
    <phoneticPr fontId="144" type="noConversion"/>
  </si>
  <si>
    <t>3-508</t>
  </si>
  <si>
    <t>3-509</t>
  </si>
  <si>
    <t>3-1608</t>
  </si>
  <si>
    <t>3-1609</t>
  </si>
  <si>
    <t>2-1802</t>
  </si>
  <si>
    <t>2-1803</t>
  </si>
  <si>
    <t>2-1805</t>
  </si>
  <si>
    <t>2-1806</t>
  </si>
  <si>
    <t>2-1807</t>
  </si>
  <si>
    <t>分摊土地面积</t>
    <phoneticPr fontId="144" type="noConversion"/>
  </si>
  <si>
    <t>中区</t>
  </si>
  <si>
    <t>其他</t>
    <phoneticPr fontId="4" type="noConversion"/>
  </si>
  <si>
    <t>南银大厦</t>
    <phoneticPr fontId="33" type="noConversion"/>
  </si>
  <si>
    <t>已注销及未注销</t>
  </si>
  <si>
    <t>正常操作</t>
  </si>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</sst>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13</xdr:col>
      <xdr:colOff>27458</xdr:colOff>
      <xdr:row>57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8942858" cy="4771429"/>
        </a:xfrm>
        <a:prstGeom prst="rect">
          <a:avLst/>
        </a:prstGeom>
      </xdr:spPr>
    </xdr:pic>
    <xdr:clientData/>
  </xdr:twoCellAnchor>
  <xdr:twoCellAnchor editAs="oneCell">
    <xdr:from>
      <xdr:col>0</xdr:col>
      <xdr:colOff>0</xdr:colOff>
      <xdr:row>0</xdr:row>
      <xdr:rowOff>0</xdr:rowOff>
    </xdr:from>
    <xdr:to>
      <xdr:col>12</xdr:col>
      <xdr:colOff>237067</xdr:colOff>
      <xdr:row>29</xdr:row>
      <xdr:rowOff>85093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估价对象为北京市出让国有建设用地使用权及在建建筑物房地产，为所有。根据《国有土地使用证》[]，估价对象（分摊）出让国有建设用地使用权面积为373.16平方米，建筑面积为7700.01平方米。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2020年5月22日</v>
      </c>
    </row>
    <row r="13" spans="1:2" s="1592" customFormat="1">
      <c r="A13" s="1590" t="s">
        <v>1222</v>
      </c>
      <c r="B13" s="1591" t="str">
        <f>'预评函-1'!A18</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38829</v>
      </c>
    </row>
    <row r="21" spans="1:2" s="1592" customFormat="1">
      <c r="A21" s="1590" t="s">
        <v>1230</v>
      </c>
      <c r="B21" s="1591">
        <f ca="1">'预评函-2'!D7</f>
        <v>50427</v>
      </c>
    </row>
    <row r="22" spans="1:2" s="1592" customFormat="1">
      <c r="A22" s="1590" t="s">
        <v>1231</v>
      </c>
      <c r="B22" s="1591" t="str">
        <f ca="1">'预评函-2'!D6</f>
        <v>叁亿捌仟捌佰贰拾玖万元整</v>
      </c>
    </row>
    <row r="23" spans="1:2" s="1592" customFormat="1">
      <c r="A23" s="1590" t="s">
        <v>1282</v>
      </c>
      <c r="B23" s="1591" t="str">
        <f>'预评函-2'!B8</f>
        <v>2.估价师知悉的法定优先受偿款</v>
      </c>
    </row>
    <row r="24" spans="1:2" s="1592" customFormat="1">
      <c r="A24" s="1590" t="s">
        <v>1288</v>
      </c>
      <c r="B24" s="1591">
        <f>'预评函-2'!D8</f>
        <v>25000</v>
      </c>
    </row>
    <row r="25" spans="1:2" s="1592" customFormat="1">
      <c r="A25" s="1590" t="s">
        <v>1232</v>
      </c>
      <c r="B25" s="1591" t="str">
        <f>'预评函-2'!D9</f>
        <v>贰亿伍仟万元整</v>
      </c>
    </row>
    <row r="26" spans="1:2" s="1592" customFormat="1">
      <c r="A26" s="1590" t="s">
        <v>1233</v>
      </c>
      <c r="B26" s="1591">
        <f>'预评函-2'!D10</f>
        <v>25000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13829</v>
      </c>
    </row>
    <row r="31" spans="1:2" s="1592" customFormat="1">
      <c r="A31" s="1590" t="s">
        <v>1269</v>
      </c>
      <c r="B31" s="1591">
        <f ca="1">'预评函-2'!D15</f>
        <v>17960</v>
      </c>
    </row>
    <row r="32" spans="1:2" s="1592" customFormat="1">
      <c r="A32" s="1590" t="s">
        <v>1236</v>
      </c>
      <c r="B32" s="1591" t="str">
        <f ca="1">'预评函-2'!D14</f>
        <v>壹亿叁仟捌佰贰拾玖万元整</v>
      </c>
    </row>
    <row r="33" spans="1:2" s="1592" customFormat="1">
      <c r="A33" s="1590" t="s">
        <v>1271</v>
      </c>
      <c r="B33" s="1591" t="str">
        <f>'预评函-2'!B16</f>
        <v>4.抵押担保权已注销时的房地产抵押价值</v>
      </c>
    </row>
    <row r="34" spans="1:2" s="1592" customFormat="1">
      <c r="A34" s="1590" t="s">
        <v>1289</v>
      </c>
      <c r="B34" s="1591">
        <f ca="1">'预评函-2'!D16</f>
        <v>38829</v>
      </c>
    </row>
    <row r="35" spans="1:2" s="1592" customFormat="1">
      <c r="A35" s="1590" t="s">
        <v>1270</v>
      </c>
      <c r="B35" s="1591">
        <f ca="1">'预评函-2'!D18</f>
        <v>50427</v>
      </c>
    </row>
    <row r="36" spans="1:2" s="1592" customFormat="1">
      <c r="A36" s="1590" t="s">
        <v>1237</v>
      </c>
      <c r="B36" s="1591" t="str">
        <f ca="1">'预评函-2'!D17</f>
        <v>叁亿捌仟捌佰贰拾玖万元整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7700.0099999999984</v>
      </c>
    </row>
    <row r="44" spans="1:2" s="1592" customFormat="1">
      <c r="A44" s="1590" t="s">
        <v>1268</v>
      </c>
      <c r="B44" s="1591" t="str">
        <f>'预评函-3'!C2</f>
        <v>(分摊)土地面积</v>
      </c>
    </row>
    <row r="45" spans="1:2" s="1592" customFormat="1">
      <c r="A45" s="1590" t="s">
        <v>1240</v>
      </c>
      <c r="B45" s="1591">
        <f>'预评函-3'!C4</f>
        <v>373.16</v>
      </c>
    </row>
    <row r="46" spans="1:2" s="1592" customFormat="1">
      <c r="A46" s="1590" t="s">
        <v>1266</v>
      </c>
      <c r="B46" s="1591" t="str">
        <f>'预评函-3'!D2</f>
        <v>出让国有建设用地使用权价值</v>
      </c>
    </row>
    <row r="47" spans="1:2" s="1592" customFormat="1">
      <c r="A47" s="1590" t="s">
        <v>1241</v>
      </c>
      <c r="B47" s="1591">
        <f ca="1">'预评函-3'!D4</f>
        <v>33943</v>
      </c>
    </row>
    <row r="48" spans="1:2" s="1592" customFormat="1">
      <c r="A48" s="1590" t="s">
        <v>1242</v>
      </c>
      <c r="B48" s="1591">
        <f ca="1">'预评函-3'!E4</f>
        <v>44082</v>
      </c>
    </row>
    <row r="49" spans="1:2" s="1592" customFormat="1">
      <c r="A49" s="1590" t="s">
        <v>1243</v>
      </c>
      <c r="B49" s="1591" t="str">
        <f ca="1">'预评函-3'!D5</f>
        <v>叁亿叁仟玖佰肆拾叁万元整</v>
      </c>
    </row>
    <row r="50" spans="1:2" s="1592" customFormat="1">
      <c r="A50" s="1590" t="s">
        <v>1267</v>
      </c>
      <c r="B50" s="1591" t="str">
        <f>'预评函-3'!F2</f>
        <v>建筑物价值</v>
      </c>
    </row>
    <row r="51" spans="1:2" s="1592" customFormat="1">
      <c r="A51" s="1590" t="s">
        <v>1244</v>
      </c>
      <c r="B51" s="1591">
        <f ca="1">'预评函-3'!F4</f>
        <v>4886</v>
      </c>
    </row>
    <row r="52" spans="1:2" s="1592" customFormat="1">
      <c r="A52" s="1590" t="s">
        <v>1245</v>
      </c>
      <c r="B52" s="1591">
        <f ca="1">'预评函-3'!G4</f>
        <v>6345</v>
      </c>
    </row>
    <row r="53" spans="1:2" s="1592" customFormat="1">
      <c r="A53" s="1590" t="s">
        <v>1273</v>
      </c>
      <c r="B53" s="1591" t="str">
        <f ca="1">'预评函-3'!F5</f>
        <v>肆仟捌佰捌拾陆万元整</v>
      </c>
    </row>
    <row r="54" spans="1:2" s="1592" customFormat="1">
      <c r="A54" s="1590" t="s">
        <v>1291</v>
      </c>
      <c r="B54" s="1591" t="str">
        <f>'预评函-3'!A8</f>
        <v>房地产抵押价值</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故，本次评估估价师知悉的法定优先受偿款为人民币25000万元整。</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3182</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0" t="s">
        <v>860</v>
      </c>
      <c r="C54" s="2017" t="s">
        <v>1276</v>
      </c>
    </row>
    <row r="55" spans="1:4">
      <c r="A55" s="3040"/>
      <c r="B55" s="2020" t="s">
        <v>861</v>
      </c>
      <c r="C55" s="2017" t="s">
        <v>1277</v>
      </c>
    </row>
    <row r="56" spans="1:4">
      <c r="A56" s="3040"/>
      <c r="B56" s="2020" t="s">
        <v>862</v>
      </c>
      <c r="C56" s="2017" t="s">
        <v>1281</v>
      </c>
    </row>
    <row r="57" spans="1:4">
      <c r="A57" s="3040"/>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8" sqref="J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43973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3059</v>
      </c>
      <c r="C8" s="2054"/>
      <c r="D8" s="3044" t="s">
        <v>1779</v>
      </c>
      <c r="E8" s="2055" t="s">
        <v>3286</v>
      </c>
      <c r="F8" s="2056"/>
      <c r="G8" s="2024"/>
      <c r="H8" s="2024"/>
      <c r="I8" s="2024"/>
      <c r="J8" s="2040"/>
      <c r="K8" s="2041"/>
      <c r="L8" s="2026"/>
      <c r="M8" s="2026"/>
      <c r="N8" s="2027"/>
      <c r="O8" s="2028"/>
      <c r="P8" s="2027"/>
      <c r="Q8" s="2027"/>
      <c r="R8" s="2027"/>
    </row>
    <row r="9" spans="1:19" ht="18" customHeight="1" thickBot="1">
      <c r="A9" s="2038" t="s">
        <v>1780</v>
      </c>
      <c r="B9" s="2057" t="s">
        <v>3060</v>
      </c>
      <c r="C9" s="2058"/>
      <c r="D9" s="3045"/>
      <c r="E9" s="2057"/>
      <c r="F9" s="2059"/>
      <c r="G9" s="2060"/>
      <c r="H9" s="2060"/>
      <c r="I9" s="2060"/>
      <c r="J9" s="2040"/>
      <c r="K9" s="2052"/>
      <c r="L9" s="2026"/>
      <c r="M9" s="2026"/>
      <c r="N9" s="2027"/>
      <c r="O9" s="2028"/>
      <c r="P9" s="2027"/>
      <c r="Q9" s="2027"/>
      <c r="R9" s="2027"/>
    </row>
    <row r="10" spans="1:19" ht="18" customHeight="1" thickTop="1">
      <c r="A10" s="2061" t="s">
        <v>1781</v>
      </c>
      <c r="B10" s="2062" t="s">
        <v>3061</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3062</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3063</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29.65</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1"/>
      <c r="C16" s="3052"/>
      <c r="D16" s="3053"/>
      <c r="E16" s="2084" t="s">
        <v>1796</v>
      </c>
      <c r="F16" s="3054"/>
      <c r="G16" s="3055"/>
      <c r="H16" s="3055"/>
      <c r="I16" s="3056"/>
      <c r="J16" s="2027"/>
      <c r="K16" s="2081"/>
      <c r="L16" s="2082"/>
      <c r="M16" s="2082"/>
      <c r="N16" s="2083"/>
      <c r="O16" s="2082"/>
      <c r="P16" s="2083"/>
      <c r="Q16" s="2027"/>
      <c r="R16" s="2027"/>
    </row>
    <row r="17" spans="1:22" ht="18" customHeight="1">
      <c r="A17" s="2085" t="s">
        <v>1797</v>
      </c>
      <c r="B17" s="2033" t="s">
        <v>1798</v>
      </c>
      <c r="C17" s="1054">
        <f>'数据-汇总表'!E3</f>
        <v>7700.0099999999984</v>
      </c>
      <c r="D17" s="2086" t="s">
        <v>1799</v>
      </c>
      <c r="E17" s="3057" t="s">
        <v>1800</v>
      </c>
      <c r="F17" s="3058"/>
      <c r="G17" s="3058"/>
      <c r="H17" s="3058"/>
      <c r="I17" s="3059"/>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373.16</v>
      </c>
      <c r="D18" s="2089" t="s">
        <v>1799</v>
      </c>
      <c r="E18" s="3060" t="s">
        <v>1803</v>
      </c>
      <c r="F18" s="3061"/>
      <c r="G18" s="3061"/>
      <c r="H18" s="3061"/>
      <c r="I18" s="3062"/>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7" t="s">
        <v>1808</v>
      </c>
      <c r="C20" s="3048"/>
      <c r="D20" s="3049" t="s">
        <v>1809</v>
      </c>
      <c r="E20" s="3050"/>
      <c r="F20" s="2096" t="s">
        <v>1810</v>
      </c>
      <c r="G20" s="2040"/>
      <c r="H20" s="2040"/>
      <c r="I20" s="2040"/>
      <c r="J20" s="2040"/>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4"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4"/>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4"/>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5"/>
      <c r="B30" s="2033" t="s">
        <v>1827</v>
      </c>
      <c r="C30" s="3066"/>
      <c r="D30" s="306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8"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3" t="s">
        <v>1837</v>
      </c>
      <c r="T34" s="2133" t="str">
        <f>NUMBERSTRING(7-K34,1)&amp;"通"</f>
        <v>七通</v>
      </c>
      <c r="U34" s="2027"/>
      <c r="V34" s="2027"/>
    </row>
    <row r="35" spans="1:22" ht="18" customHeight="1">
      <c r="A35" s="2134"/>
      <c r="B35" s="3070" t="s">
        <v>1838</v>
      </c>
      <c r="C35" s="3070"/>
      <c r="D35" s="3070"/>
      <c r="E35" s="307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Sheet1!D106</f>
        <v>373.16</v>
      </c>
      <c r="B3" s="14">
        <f>IF(C3="否",G5-AT5,G5)</f>
        <v>7700.0099999999984</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7700.0099999999984</v>
      </c>
      <c r="H5" s="16">
        <f t="shared" ref="H5:AT5" si="0">SUM(H13:H656)</f>
        <v>7700.0099999999984</v>
      </c>
      <c r="I5" s="16">
        <f t="shared" si="0"/>
        <v>7700.0099999999984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7700.0099999999984</v>
      </c>
      <c r="BA5" s="18">
        <f t="shared" si="1"/>
        <v>7700.0099999999984</v>
      </c>
      <c r="BB5" s="18">
        <f t="shared" si="1"/>
        <v>7700.0099999999984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373.16</v>
      </c>
      <c r="F6" s="16" t="s">
        <v>1</v>
      </c>
      <c r="G6" s="16" t="s">
        <v>2</v>
      </c>
      <c r="H6" s="20">
        <f>SUMIF(I$12:AB$12,"总值",I6:AB6)</f>
        <v>373.16</v>
      </c>
      <c r="I6" s="16">
        <f t="shared" ref="I6:AB6" si="2">ROUND($A$3*I5/$B$3,2)</f>
        <v>373.16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373.16</v>
      </c>
      <c r="AZ6" s="16" t="s">
        <v>3</v>
      </c>
      <c r="BA6" s="16">
        <f>ROUND($AY$6*BA5/$AZ$5,2)</f>
        <v>373.16</v>
      </c>
      <c r="BB6" s="16">
        <f>ROUND($AY$6*BB5/$AZ$5,2)</f>
        <v>373.16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3161</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tr">
        <f>Sheet1!B94</f>
        <v>3-1601</v>
      </c>
      <c r="D13" s="2212" t="s">
        <v>3160</v>
      </c>
      <c r="E13" s="16">
        <f>IF($C$3="是",ROUND($A$3*G13/$B$3,2),ROUND($A$3*(G13-AT13)/$B$3,2))</f>
        <v>33.14</v>
      </c>
      <c r="F13" s="32"/>
      <c r="G13" s="33">
        <f>H13+AC13+AT13</f>
        <v>683.76</v>
      </c>
      <c r="H13" s="20">
        <f>SUMIF(I$12:AB$12,"总值",I13:AB13)</f>
        <v>683.76</v>
      </c>
      <c r="I13" s="2213">
        <f>Sheet1!C94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3-1601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6" t="s">
        <v>3284</v>
      </c>
      <c r="D14" s="2212" t="s">
        <v>3160</v>
      </c>
      <c r="E14" s="16">
        <f>IF($C$3="是",ROUND($A$3*G14/$B$3,2),ROUND($A$3*(G14-AT14)/$B$3,2))</f>
        <v>340.02</v>
      </c>
      <c r="F14" s="32"/>
      <c r="G14" s="33">
        <f>H14+AC14+AT14</f>
        <v>7016.2499999999982</v>
      </c>
      <c r="H14" s="20">
        <f>SUMIF(I$12:AB$12,"总值",I14:AB14)</f>
        <v>7016.2499999999982</v>
      </c>
      <c r="I14" s="2213">
        <f>Sheet1!C106-Sheet1!C94</f>
        <v>7016.2499999999982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340.02</v>
      </c>
      <c r="AZ14" s="16">
        <f>BA14+BL14</f>
        <v>7016.2499999999982</v>
      </c>
      <c r="BA14" s="16">
        <f>SUM(BB14:BK14)</f>
        <v>7016.2499999999982</v>
      </c>
      <c r="BB14" s="16">
        <f>IF($D14="是",I14-J14,0)</f>
        <v>7016.2499999999982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79" workbookViewId="0">
      <selection activeCell="E103" sqref="E103"/>
    </sheetView>
  </sheetViews>
  <sheetFormatPr defaultRowHeight="13.5"/>
  <cols>
    <col min="1" max="1" width="9" customWidth="1"/>
    <col min="2" max="2" width="13" bestFit="1" customWidth="1"/>
  </cols>
  <sheetData>
    <row r="1" spans="1:18" ht="14.25" thickBot="1"/>
    <row r="2" spans="1:18" ht="14.25" thickBot="1">
      <c r="A2">
        <v>1</v>
      </c>
      <c r="B2" s="2976" t="s">
        <v>3183</v>
      </c>
      <c r="C2">
        <v>683.76</v>
      </c>
      <c r="D2">
        <f>ROUND(C2/$C$64*$C$67,2)</f>
        <v>33.14</v>
      </c>
      <c r="K2" s="2972" t="s">
        <v>3260</v>
      </c>
      <c r="L2" s="2972" t="s">
        <v>3066</v>
      </c>
      <c r="M2" s="2972" t="s">
        <v>3067</v>
      </c>
      <c r="N2" s="2972" t="s">
        <v>3068</v>
      </c>
      <c r="O2" s="2972" t="s">
        <v>3069</v>
      </c>
      <c r="P2" s="2972" t="s">
        <v>3070</v>
      </c>
      <c r="Q2" s="2972" t="s">
        <v>3071</v>
      </c>
      <c r="R2" s="2972" t="s">
        <v>3072</v>
      </c>
    </row>
    <row r="3" spans="1:18" ht="14.25" thickBot="1">
      <c r="A3">
        <v>2</v>
      </c>
      <c r="B3" s="2976" t="s">
        <v>3184</v>
      </c>
      <c r="C3">
        <v>189.28</v>
      </c>
      <c r="D3">
        <f t="shared" ref="D3:D62" si="0">ROUND(C3/$C$64*$C$67,2)</f>
        <v>9.17</v>
      </c>
      <c r="K3" s="3078" t="s">
        <v>3074</v>
      </c>
      <c r="L3" s="3081" t="s">
        <v>3075</v>
      </c>
      <c r="M3" s="2973" t="str">
        <f>B2</f>
        <v>3-1201</v>
      </c>
      <c r="N3" s="3078" t="s">
        <v>3077</v>
      </c>
      <c r="O3" s="2974">
        <v>11</v>
      </c>
      <c r="P3" s="2973">
        <f>C2</f>
        <v>683.76</v>
      </c>
      <c r="Q3" s="3084" t="s">
        <v>3078</v>
      </c>
      <c r="R3" s="3084" t="s">
        <v>3078</v>
      </c>
    </row>
    <row r="4" spans="1:18" ht="14.25" thickBot="1">
      <c r="A4">
        <v>3</v>
      </c>
      <c r="B4" s="2976" t="s">
        <v>3185</v>
      </c>
      <c r="C4">
        <v>189.28</v>
      </c>
      <c r="D4">
        <f t="shared" si="0"/>
        <v>9.17</v>
      </c>
      <c r="K4" s="3079"/>
      <c r="L4" s="3082"/>
      <c r="M4" s="2973" t="str">
        <f t="shared" ref="M4:M64" si="1">B3</f>
        <v>3-1202</v>
      </c>
      <c r="N4" s="3079"/>
      <c r="O4" s="2974">
        <v>11</v>
      </c>
      <c r="P4" s="2973">
        <f t="shared" ref="P4:P64" si="2">C3</f>
        <v>189.28</v>
      </c>
      <c r="Q4" s="3085"/>
      <c r="R4" s="3085"/>
    </row>
    <row r="5" spans="1:18" ht="14.25" thickBot="1">
      <c r="A5">
        <v>4</v>
      </c>
      <c r="B5" s="2976" t="s">
        <v>3186</v>
      </c>
      <c r="C5">
        <v>564.35</v>
      </c>
      <c r="D5">
        <f t="shared" si="0"/>
        <v>27.35</v>
      </c>
      <c r="K5" s="3079"/>
      <c r="L5" s="3082"/>
      <c r="M5" s="2973" t="str">
        <f t="shared" si="1"/>
        <v>3-1203</v>
      </c>
      <c r="N5" s="3079"/>
      <c r="O5" s="2974">
        <v>11</v>
      </c>
      <c r="P5" s="2973">
        <f t="shared" si="2"/>
        <v>189.28</v>
      </c>
      <c r="Q5" s="3085"/>
      <c r="R5" s="3085"/>
    </row>
    <row r="6" spans="1:18" ht="14.25" thickBot="1">
      <c r="A6">
        <v>5</v>
      </c>
      <c r="B6" s="2976" t="s">
        <v>3187</v>
      </c>
      <c r="C6">
        <v>540.91999999999996</v>
      </c>
      <c r="D6">
        <f t="shared" si="0"/>
        <v>26.21</v>
      </c>
      <c r="K6" s="3079"/>
      <c r="L6" s="3082"/>
      <c r="M6" s="2973" t="str">
        <f t="shared" si="1"/>
        <v>3-1205</v>
      </c>
      <c r="N6" s="3079"/>
      <c r="O6" s="2974">
        <v>11</v>
      </c>
      <c r="P6" s="2973">
        <f t="shared" si="2"/>
        <v>564.35</v>
      </c>
      <c r="Q6" s="3085"/>
      <c r="R6" s="3085"/>
    </row>
    <row r="7" spans="1:18" ht="14.25" thickBot="1">
      <c r="A7">
        <v>6</v>
      </c>
      <c r="B7" s="2976" t="s">
        <v>3188</v>
      </c>
      <c r="C7">
        <v>189.28</v>
      </c>
      <c r="D7">
        <f t="shared" si="0"/>
        <v>9.17</v>
      </c>
      <c r="K7" s="3079"/>
      <c r="L7" s="3082"/>
      <c r="M7" s="2973" t="str">
        <f t="shared" si="1"/>
        <v>3-1206</v>
      </c>
      <c r="N7" s="3079"/>
      <c r="O7" s="2974">
        <v>11</v>
      </c>
      <c r="P7" s="2973">
        <f t="shared" si="2"/>
        <v>540.91999999999996</v>
      </c>
      <c r="Q7" s="3085"/>
      <c r="R7" s="3085"/>
    </row>
    <row r="8" spans="1:18" ht="14.25" thickBot="1">
      <c r="A8">
        <v>7</v>
      </c>
      <c r="B8" s="2976" t="s">
        <v>3189</v>
      </c>
      <c r="C8">
        <v>440.53</v>
      </c>
      <c r="D8">
        <f t="shared" si="0"/>
        <v>21.35</v>
      </c>
      <c r="K8" s="3079"/>
      <c r="L8" s="3082"/>
      <c r="M8" s="2973" t="str">
        <f t="shared" si="1"/>
        <v>3-1207</v>
      </c>
      <c r="N8" s="3079"/>
      <c r="O8" s="2974">
        <v>11</v>
      </c>
      <c r="P8" s="2973">
        <f t="shared" si="2"/>
        <v>189.28</v>
      </c>
      <c r="Q8" s="3085"/>
      <c r="R8" s="3085"/>
    </row>
    <row r="9" spans="1:18" ht="14.25" thickBot="1">
      <c r="A9">
        <v>8</v>
      </c>
      <c r="B9" s="2976" t="s">
        <v>3190</v>
      </c>
      <c r="C9">
        <v>432.37</v>
      </c>
      <c r="D9">
        <f t="shared" si="0"/>
        <v>20.95</v>
      </c>
      <c r="K9" s="3079"/>
      <c r="L9" s="3082"/>
      <c r="M9" s="2973" t="str">
        <f t="shared" si="1"/>
        <v>3-1208</v>
      </c>
      <c r="N9" s="3079"/>
      <c r="O9" s="2974">
        <v>11</v>
      </c>
      <c r="P9" s="2973">
        <f t="shared" si="2"/>
        <v>440.53</v>
      </c>
      <c r="Q9" s="3085"/>
      <c r="R9" s="3085"/>
    </row>
    <row r="10" spans="1:18" ht="14.25" thickBot="1">
      <c r="A10">
        <v>9</v>
      </c>
      <c r="B10" s="2976" t="s">
        <v>3191</v>
      </c>
      <c r="C10">
        <v>683.76</v>
      </c>
      <c r="D10">
        <f t="shared" si="0"/>
        <v>33.14</v>
      </c>
      <c r="K10" s="3079"/>
      <c r="L10" s="3082"/>
      <c r="M10" s="2973" t="str">
        <f t="shared" si="1"/>
        <v>3-1209</v>
      </c>
      <c r="N10" s="3079"/>
      <c r="O10" s="2974">
        <v>11</v>
      </c>
      <c r="P10" s="2973">
        <f t="shared" si="2"/>
        <v>432.37</v>
      </c>
      <c r="Q10" s="3085"/>
      <c r="R10" s="3085"/>
    </row>
    <row r="11" spans="1:18" ht="14.25" thickBot="1">
      <c r="A11">
        <v>10</v>
      </c>
      <c r="B11" s="2976" t="s">
        <v>3192</v>
      </c>
      <c r="C11">
        <v>189.28</v>
      </c>
      <c r="D11">
        <f t="shared" si="0"/>
        <v>9.17</v>
      </c>
      <c r="K11" s="3079"/>
      <c r="L11" s="3082"/>
      <c r="M11" s="2973" t="str">
        <f t="shared" si="1"/>
        <v>3-1501</v>
      </c>
      <c r="N11" s="3079"/>
      <c r="O11" s="2974">
        <v>12</v>
      </c>
      <c r="P11" s="2973">
        <f t="shared" si="2"/>
        <v>683.76</v>
      </c>
      <c r="Q11" s="3085"/>
      <c r="R11" s="3085"/>
    </row>
    <row r="12" spans="1:18" ht="14.25" thickBot="1">
      <c r="A12">
        <v>11</v>
      </c>
      <c r="B12" s="2976" t="s">
        <v>3193</v>
      </c>
      <c r="C12">
        <v>189.28</v>
      </c>
      <c r="D12">
        <f t="shared" si="0"/>
        <v>9.17</v>
      </c>
      <c r="K12" s="3079"/>
      <c r="L12" s="3082"/>
      <c r="M12" s="2973" t="str">
        <f t="shared" si="1"/>
        <v>3-1502</v>
      </c>
      <c r="N12" s="3079"/>
      <c r="O12" s="2974">
        <v>12</v>
      </c>
      <c r="P12" s="2973">
        <f t="shared" si="2"/>
        <v>189.28</v>
      </c>
      <c r="Q12" s="3085"/>
      <c r="R12" s="3085"/>
    </row>
    <row r="13" spans="1:18" ht="14.25" thickBot="1">
      <c r="A13">
        <v>12</v>
      </c>
      <c r="B13" s="2976" t="s">
        <v>3194</v>
      </c>
      <c r="C13">
        <v>534.33000000000004</v>
      </c>
      <c r="D13">
        <f t="shared" si="0"/>
        <v>25.89</v>
      </c>
      <c r="K13" s="3079"/>
      <c r="L13" s="3082"/>
      <c r="M13" s="2973" t="str">
        <f t="shared" si="1"/>
        <v>3-1503</v>
      </c>
      <c r="N13" s="3079"/>
      <c r="O13" s="2974">
        <v>12</v>
      </c>
      <c r="P13" s="2973">
        <f t="shared" si="2"/>
        <v>189.28</v>
      </c>
      <c r="Q13" s="3085"/>
      <c r="R13" s="3085"/>
    </row>
    <row r="14" spans="1:18" ht="14.25" thickBot="1">
      <c r="A14">
        <v>13</v>
      </c>
      <c r="B14" s="2976" t="s">
        <v>3195</v>
      </c>
      <c r="C14">
        <v>540.91999999999996</v>
      </c>
      <c r="D14">
        <f t="shared" si="0"/>
        <v>26.21</v>
      </c>
      <c r="K14" s="3079"/>
      <c r="L14" s="3082"/>
      <c r="M14" s="2973" t="str">
        <f t="shared" si="1"/>
        <v>3-1505</v>
      </c>
      <c r="N14" s="3079"/>
      <c r="O14" s="2974">
        <v>12</v>
      </c>
      <c r="P14" s="2973">
        <f t="shared" si="2"/>
        <v>534.33000000000004</v>
      </c>
      <c r="Q14" s="3085"/>
      <c r="R14" s="3085"/>
    </row>
    <row r="15" spans="1:18" ht="14.25" thickBot="1">
      <c r="A15">
        <v>14</v>
      </c>
      <c r="B15" s="2976" t="s">
        <v>3196</v>
      </c>
      <c r="C15">
        <v>189.28</v>
      </c>
      <c r="D15">
        <f t="shared" si="0"/>
        <v>9.17</v>
      </c>
      <c r="K15" s="3079"/>
      <c r="L15" s="3082"/>
      <c r="M15" s="2973" t="str">
        <f t="shared" si="1"/>
        <v>3-1506</v>
      </c>
      <c r="N15" s="3079"/>
      <c r="O15" s="2974">
        <v>12</v>
      </c>
      <c r="P15" s="2973">
        <f t="shared" si="2"/>
        <v>540.91999999999996</v>
      </c>
      <c r="Q15" s="3085"/>
      <c r="R15" s="3085"/>
    </row>
    <row r="16" spans="1:18" ht="14.25" thickBot="1">
      <c r="A16">
        <v>15</v>
      </c>
      <c r="B16" s="2976" t="s">
        <v>3197</v>
      </c>
      <c r="C16">
        <v>440.53</v>
      </c>
      <c r="D16">
        <f t="shared" si="0"/>
        <v>21.35</v>
      </c>
      <c r="K16" s="3079"/>
      <c r="L16" s="3082"/>
      <c r="M16" s="2973" t="str">
        <f t="shared" si="1"/>
        <v>3-1507</v>
      </c>
      <c r="N16" s="3079"/>
      <c r="O16" s="2974">
        <v>12</v>
      </c>
      <c r="P16" s="2973">
        <f t="shared" si="2"/>
        <v>189.28</v>
      </c>
      <c r="Q16" s="3085"/>
      <c r="R16" s="3085"/>
    </row>
    <row r="17" spans="1:18" ht="14.25" thickBot="1">
      <c r="A17">
        <v>16</v>
      </c>
      <c r="B17" s="2976" t="s">
        <v>3198</v>
      </c>
      <c r="C17">
        <v>432.37</v>
      </c>
      <c r="D17">
        <f t="shared" si="0"/>
        <v>20.95</v>
      </c>
      <c r="K17" s="3079"/>
      <c r="L17" s="3082"/>
      <c r="M17" s="2973" t="str">
        <f t="shared" si="1"/>
        <v>3-1508</v>
      </c>
      <c r="N17" s="3079"/>
      <c r="O17" s="2974">
        <v>12</v>
      </c>
      <c r="P17" s="2973">
        <f t="shared" si="2"/>
        <v>440.53</v>
      </c>
      <c r="Q17" s="3085"/>
      <c r="R17" s="3085"/>
    </row>
    <row r="18" spans="1:18" ht="14.25" thickBot="1">
      <c r="A18">
        <v>17</v>
      </c>
      <c r="B18" s="2976" t="s">
        <v>3199</v>
      </c>
      <c r="C18">
        <v>683.76</v>
      </c>
      <c r="D18">
        <f t="shared" si="0"/>
        <v>33.14</v>
      </c>
      <c r="K18" s="3079"/>
      <c r="L18" s="3082"/>
      <c r="M18" s="2973" t="str">
        <f t="shared" si="1"/>
        <v>3-1509</v>
      </c>
      <c r="N18" s="3079"/>
      <c r="O18" s="2974">
        <v>12</v>
      </c>
      <c r="P18" s="2973">
        <f t="shared" si="2"/>
        <v>432.37</v>
      </c>
      <c r="Q18" s="3085"/>
      <c r="R18" s="3085"/>
    </row>
    <row r="19" spans="1:18" ht="14.25" thickBot="1">
      <c r="A19">
        <v>18</v>
      </c>
      <c r="B19" s="2976" t="s">
        <v>3200</v>
      </c>
      <c r="C19">
        <v>189.28</v>
      </c>
      <c r="D19">
        <f t="shared" si="0"/>
        <v>9.17</v>
      </c>
      <c r="K19" s="3079"/>
      <c r="L19" s="3082"/>
      <c r="M19" s="2973" t="str">
        <f t="shared" si="1"/>
        <v>3-1701</v>
      </c>
      <c r="N19" s="3079"/>
      <c r="O19" s="2974">
        <v>14</v>
      </c>
      <c r="P19" s="2973">
        <f t="shared" si="2"/>
        <v>683.76</v>
      </c>
      <c r="Q19" s="3085"/>
      <c r="R19" s="3085"/>
    </row>
    <row r="20" spans="1:18" ht="14.25" thickBot="1">
      <c r="A20">
        <v>19</v>
      </c>
      <c r="B20" s="2976" t="s">
        <v>3201</v>
      </c>
      <c r="C20">
        <v>189.28</v>
      </c>
      <c r="D20">
        <f t="shared" si="0"/>
        <v>9.17</v>
      </c>
      <c r="K20" s="3079"/>
      <c r="L20" s="3082"/>
      <c r="M20" s="2973" t="str">
        <f t="shared" si="1"/>
        <v>3-1702</v>
      </c>
      <c r="N20" s="3079"/>
      <c r="O20" s="2974">
        <v>14</v>
      </c>
      <c r="P20" s="2973">
        <f t="shared" si="2"/>
        <v>189.28</v>
      </c>
      <c r="Q20" s="3085"/>
      <c r="R20" s="3085"/>
    </row>
    <row r="21" spans="1:18" ht="14.25" thickBot="1">
      <c r="A21">
        <v>20</v>
      </c>
      <c r="B21" s="2976" t="s">
        <v>3202</v>
      </c>
      <c r="C21">
        <v>534.33000000000004</v>
      </c>
      <c r="D21">
        <f t="shared" si="0"/>
        <v>25.89</v>
      </c>
      <c r="K21" s="3079"/>
      <c r="L21" s="3082"/>
      <c r="M21" s="2973" t="str">
        <f t="shared" si="1"/>
        <v>3-1703</v>
      </c>
      <c r="N21" s="3079"/>
      <c r="O21" s="2974">
        <v>14</v>
      </c>
      <c r="P21" s="2973">
        <f t="shared" si="2"/>
        <v>189.28</v>
      </c>
      <c r="Q21" s="3085"/>
      <c r="R21" s="3085"/>
    </row>
    <row r="22" spans="1:18" ht="14.25" thickBot="1">
      <c r="A22">
        <v>21</v>
      </c>
      <c r="B22" s="2976" t="s">
        <v>3203</v>
      </c>
      <c r="C22">
        <v>540.91999999999996</v>
      </c>
      <c r="D22">
        <f t="shared" si="0"/>
        <v>26.21</v>
      </c>
      <c r="K22" s="3079"/>
      <c r="L22" s="3082"/>
      <c r="M22" s="2973" t="str">
        <f t="shared" si="1"/>
        <v>3-1705</v>
      </c>
      <c r="N22" s="3079"/>
      <c r="O22" s="2974">
        <v>14</v>
      </c>
      <c r="P22" s="2973">
        <f t="shared" si="2"/>
        <v>534.33000000000004</v>
      </c>
      <c r="Q22" s="3085"/>
      <c r="R22" s="3085"/>
    </row>
    <row r="23" spans="1:18" ht="14.25" thickBot="1">
      <c r="A23">
        <v>22</v>
      </c>
      <c r="B23" s="2976" t="s">
        <v>3204</v>
      </c>
      <c r="C23">
        <v>189.28</v>
      </c>
      <c r="D23">
        <f t="shared" si="0"/>
        <v>9.17</v>
      </c>
      <c r="K23" s="3079"/>
      <c r="L23" s="3082"/>
      <c r="M23" s="2973" t="str">
        <f t="shared" si="1"/>
        <v>3-1706</v>
      </c>
      <c r="N23" s="3079"/>
      <c r="O23" s="2974">
        <v>14</v>
      </c>
      <c r="P23" s="2973">
        <f t="shared" si="2"/>
        <v>540.91999999999996</v>
      </c>
      <c r="Q23" s="3085"/>
      <c r="R23" s="3085"/>
    </row>
    <row r="24" spans="1:18" ht="14.25" thickBot="1">
      <c r="A24">
        <v>23</v>
      </c>
      <c r="B24" s="2976" t="s">
        <v>3205</v>
      </c>
      <c r="C24">
        <v>440.53</v>
      </c>
      <c r="D24">
        <f t="shared" si="0"/>
        <v>21.35</v>
      </c>
      <c r="K24" s="3079"/>
      <c r="L24" s="3082"/>
      <c r="M24" s="2973" t="str">
        <f t="shared" si="1"/>
        <v>3-1707</v>
      </c>
      <c r="N24" s="3079"/>
      <c r="O24" s="2974">
        <v>14</v>
      </c>
      <c r="P24" s="2973">
        <f t="shared" si="2"/>
        <v>189.28</v>
      </c>
      <c r="Q24" s="3085"/>
      <c r="R24" s="3085"/>
    </row>
    <row r="25" spans="1:18" ht="14.25" thickBot="1">
      <c r="A25">
        <v>24</v>
      </c>
      <c r="B25" s="2976" t="s">
        <v>3206</v>
      </c>
      <c r="C25">
        <v>432.37</v>
      </c>
      <c r="D25">
        <f t="shared" si="0"/>
        <v>20.95</v>
      </c>
      <c r="K25" s="3079"/>
      <c r="L25" s="3082"/>
      <c r="M25" s="2973" t="str">
        <f t="shared" si="1"/>
        <v>3-1708</v>
      </c>
      <c r="N25" s="3079"/>
      <c r="O25" s="2974">
        <v>14</v>
      </c>
      <c r="P25" s="2973">
        <f t="shared" si="2"/>
        <v>440.53</v>
      </c>
      <c r="Q25" s="3085"/>
      <c r="R25" s="3085"/>
    </row>
    <row r="26" spans="1:18" ht="14.25" thickBot="1">
      <c r="A26">
        <v>25</v>
      </c>
      <c r="B26" s="2976" t="s">
        <v>3207</v>
      </c>
      <c r="C26">
        <v>683.76</v>
      </c>
      <c r="D26">
        <f t="shared" si="0"/>
        <v>33.14</v>
      </c>
      <c r="K26" s="3079"/>
      <c r="L26" s="3082"/>
      <c r="M26" s="2973" t="str">
        <f t="shared" si="1"/>
        <v>3-1709</v>
      </c>
      <c r="N26" s="3079"/>
      <c r="O26" s="2974">
        <v>14</v>
      </c>
      <c r="P26" s="2973">
        <f t="shared" si="2"/>
        <v>432.37</v>
      </c>
      <c r="Q26" s="3085"/>
      <c r="R26" s="3085"/>
    </row>
    <row r="27" spans="1:18" ht="14.25" thickBot="1">
      <c r="A27">
        <v>26</v>
      </c>
      <c r="B27" s="2976" t="s">
        <v>3208</v>
      </c>
      <c r="C27">
        <v>189.28</v>
      </c>
      <c r="D27">
        <f t="shared" si="0"/>
        <v>9.17</v>
      </c>
      <c r="K27" s="3079"/>
      <c r="L27" s="3082"/>
      <c r="M27" s="2973" t="str">
        <f t="shared" si="1"/>
        <v>3-1801</v>
      </c>
      <c r="N27" s="3079"/>
      <c r="O27" s="2974">
        <v>15</v>
      </c>
      <c r="P27" s="2973">
        <f t="shared" si="2"/>
        <v>683.76</v>
      </c>
      <c r="Q27" s="3085"/>
      <c r="R27" s="3085"/>
    </row>
    <row r="28" spans="1:18" ht="14.25" thickBot="1">
      <c r="A28">
        <v>27</v>
      </c>
      <c r="B28" s="2976" t="s">
        <v>3209</v>
      </c>
      <c r="C28">
        <v>189.28</v>
      </c>
      <c r="D28">
        <f t="shared" si="0"/>
        <v>9.17</v>
      </c>
      <c r="K28" s="3079"/>
      <c r="L28" s="3082"/>
      <c r="M28" s="2973" t="str">
        <f t="shared" si="1"/>
        <v>3-1802</v>
      </c>
      <c r="N28" s="3079"/>
      <c r="O28" s="2974">
        <v>15</v>
      </c>
      <c r="P28" s="2973">
        <f t="shared" si="2"/>
        <v>189.28</v>
      </c>
      <c r="Q28" s="3085"/>
      <c r="R28" s="3085"/>
    </row>
    <row r="29" spans="1:18" ht="14.25" thickBot="1">
      <c r="A29">
        <v>28</v>
      </c>
      <c r="B29" s="2976" t="s">
        <v>3210</v>
      </c>
      <c r="C29">
        <v>534.33000000000004</v>
      </c>
      <c r="D29">
        <f t="shared" si="0"/>
        <v>25.89</v>
      </c>
      <c r="K29" s="3079"/>
      <c r="L29" s="3082"/>
      <c r="M29" s="2973" t="str">
        <f t="shared" si="1"/>
        <v>3-1803</v>
      </c>
      <c r="N29" s="3079"/>
      <c r="O29" s="2974">
        <v>15</v>
      </c>
      <c r="P29" s="2973">
        <f t="shared" si="2"/>
        <v>189.28</v>
      </c>
      <c r="Q29" s="3085"/>
      <c r="R29" s="3085"/>
    </row>
    <row r="30" spans="1:18" ht="14.25" thickBot="1">
      <c r="A30">
        <v>29</v>
      </c>
      <c r="B30" s="2976" t="s">
        <v>3211</v>
      </c>
      <c r="C30">
        <v>540.91999999999996</v>
      </c>
      <c r="D30">
        <f t="shared" si="0"/>
        <v>26.21</v>
      </c>
      <c r="K30" s="3079"/>
      <c r="L30" s="3082"/>
      <c r="M30" s="2973" t="str">
        <f t="shared" si="1"/>
        <v>3-1805</v>
      </c>
      <c r="N30" s="3079"/>
      <c r="O30" s="2974">
        <v>15</v>
      </c>
      <c r="P30" s="2973">
        <f t="shared" si="2"/>
        <v>534.33000000000004</v>
      </c>
      <c r="Q30" s="3085"/>
      <c r="R30" s="3085"/>
    </row>
    <row r="31" spans="1:18" ht="14.25" thickBot="1">
      <c r="A31">
        <v>30</v>
      </c>
      <c r="B31" s="2976" t="s">
        <v>3212</v>
      </c>
      <c r="C31">
        <v>189.28</v>
      </c>
      <c r="D31">
        <f t="shared" si="0"/>
        <v>9.17</v>
      </c>
      <c r="K31" s="3079"/>
      <c r="L31" s="3082"/>
      <c r="M31" s="2973" t="str">
        <f t="shared" si="1"/>
        <v>3-1806</v>
      </c>
      <c r="N31" s="3079"/>
      <c r="O31" s="2974">
        <v>15</v>
      </c>
      <c r="P31" s="2973">
        <f t="shared" si="2"/>
        <v>540.91999999999996</v>
      </c>
      <c r="Q31" s="3085"/>
      <c r="R31" s="3085"/>
    </row>
    <row r="32" spans="1:18" ht="14.25" thickBot="1">
      <c r="A32">
        <v>31</v>
      </c>
      <c r="B32" s="2976" t="s">
        <v>3213</v>
      </c>
      <c r="C32">
        <v>440.53</v>
      </c>
      <c r="D32">
        <f t="shared" si="0"/>
        <v>21.35</v>
      </c>
      <c r="K32" s="3079"/>
      <c r="L32" s="3082"/>
      <c r="M32" s="2973" t="str">
        <f t="shared" si="1"/>
        <v>3-1807</v>
      </c>
      <c r="N32" s="3079"/>
      <c r="O32" s="2974">
        <v>15</v>
      </c>
      <c r="P32" s="2973">
        <f t="shared" si="2"/>
        <v>189.28</v>
      </c>
      <c r="Q32" s="3085"/>
      <c r="R32" s="3085"/>
    </row>
    <row r="33" spans="1:18" ht="14.25" thickBot="1">
      <c r="A33">
        <v>32</v>
      </c>
      <c r="B33" s="2976" t="s">
        <v>3214</v>
      </c>
      <c r="C33">
        <v>432.37</v>
      </c>
      <c r="D33">
        <f t="shared" si="0"/>
        <v>20.95</v>
      </c>
      <c r="K33" s="3079"/>
      <c r="L33" s="3082"/>
      <c r="M33" s="2973" t="str">
        <f t="shared" si="1"/>
        <v>3-1808</v>
      </c>
      <c r="N33" s="3079"/>
      <c r="O33" s="2974">
        <v>15</v>
      </c>
      <c r="P33" s="2973">
        <f t="shared" si="2"/>
        <v>440.53</v>
      </c>
      <c r="Q33" s="3085"/>
      <c r="R33" s="3085"/>
    </row>
    <row r="34" spans="1:18" ht="14.25" thickBot="1">
      <c r="A34">
        <v>33</v>
      </c>
      <c r="B34" s="2976" t="s">
        <v>3215</v>
      </c>
      <c r="C34">
        <v>683.76</v>
      </c>
      <c r="D34">
        <f t="shared" si="0"/>
        <v>33.14</v>
      </c>
      <c r="K34" s="3079"/>
      <c r="L34" s="3082"/>
      <c r="M34" s="2973" t="str">
        <f t="shared" si="1"/>
        <v>3-1809</v>
      </c>
      <c r="N34" s="3079"/>
      <c r="O34" s="2974">
        <v>15</v>
      </c>
      <c r="P34" s="2973">
        <f t="shared" si="2"/>
        <v>432.37</v>
      </c>
      <c r="Q34" s="3085"/>
      <c r="R34" s="3085"/>
    </row>
    <row r="35" spans="1:18" ht="14.25" thickBot="1">
      <c r="A35">
        <v>34</v>
      </c>
      <c r="B35" s="2976" t="s">
        <v>3216</v>
      </c>
      <c r="C35">
        <v>189.28</v>
      </c>
      <c r="D35">
        <f t="shared" si="0"/>
        <v>9.17</v>
      </c>
      <c r="K35" s="3079"/>
      <c r="L35" s="3082"/>
      <c r="M35" s="2973" t="str">
        <f t="shared" si="1"/>
        <v>3-2101</v>
      </c>
      <c r="N35" s="3079"/>
      <c r="O35" s="2974">
        <v>18</v>
      </c>
      <c r="P35" s="2973">
        <f t="shared" si="2"/>
        <v>683.76</v>
      </c>
      <c r="Q35" s="3085"/>
      <c r="R35" s="3085"/>
    </row>
    <row r="36" spans="1:18" ht="14.25" thickBot="1">
      <c r="A36">
        <v>35</v>
      </c>
      <c r="B36" s="2976" t="s">
        <v>3217</v>
      </c>
      <c r="C36">
        <v>189.28</v>
      </c>
      <c r="D36">
        <f t="shared" si="0"/>
        <v>9.17</v>
      </c>
      <c r="K36" s="3079"/>
      <c r="L36" s="3082"/>
      <c r="M36" s="2973" t="str">
        <f t="shared" si="1"/>
        <v>3-2102</v>
      </c>
      <c r="N36" s="3079"/>
      <c r="O36" s="2974">
        <v>18</v>
      </c>
      <c r="P36" s="2973">
        <f t="shared" si="2"/>
        <v>189.28</v>
      </c>
      <c r="Q36" s="3085"/>
      <c r="R36" s="3085"/>
    </row>
    <row r="37" spans="1:18" ht="14.25" thickBot="1">
      <c r="A37">
        <v>36</v>
      </c>
      <c r="B37" s="2976" t="s">
        <v>3218</v>
      </c>
      <c r="C37">
        <v>534.33000000000004</v>
      </c>
      <c r="D37">
        <f t="shared" si="0"/>
        <v>25.89</v>
      </c>
      <c r="K37" s="3079"/>
      <c r="L37" s="3082"/>
      <c r="M37" s="2973" t="str">
        <f t="shared" si="1"/>
        <v>3-2103</v>
      </c>
      <c r="N37" s="3079"/>
      <c r="O37" s="2974">
        <v>18</v>
      </c>
      <c r="P37" s="2973">
        <f t="shared" si="2"/>
        <v>189.28</v>
      </c>
      <c r="Q37" s="3085"/>
      <c r="R37" s="3085"/>
    </row>
    <row r="38" spans="1:18" ht="14.25" thickBot="1">
      <c r="A38">
        <v>37</v>
      </c>
      <c r="B38" s="2976" t="s">
        <v>3219</v>
      </c>
      <c r="C38">
        <v>540.91999999999996</v>
      </c>
      <c r="D38">
        <f t="shared" si="0"/>
        <v>26.21</v>
      </c>
      <c r="K38" s="3079"/>
      <c r="L38" s="3082"/>
      <c r="M38" s="2973" t="str">
        <f t="shared" si="1"/>
        <v>3-2105</v>
      </c>
      <c r="N38" s="3079"/>
      <c r="O38" s="2974">
        <v>18</v>
      </c>
      <c r="P38" s="2973">
        <f t="shared" si="2"/>
        <v>534.33000000000004</v>
      </c>
      <c r="Q38" s="3085"/>
      <c r="R38" s="3085"/>
    </row>
    <row r="39" spans="1:18" ht="14.25" thickBot="1">
      <c r="A39">
        <v>38</v>
      </c>
      <c r="B39" s="2976" t="s">
        <v>3220</v>
      </c>
      <c r="C39">
        <v>189.28</v>
      </c>
      <c r="D39">
        <f t="shared" si="0"/>
        <v>9.17</v>
      </c>
      <c r="K39" s="3079"/>
      <c r="L39" s="3082"/>
      <c r="M39" s="2973" t="str">
        <f t="shared" si="1"/>
        <v>3-2106</v>
      </c>
      <c r="N39" s="3079"/>
      <c r="O39" s="2974">
        <v>18</v>
      </c>
      <c r="P39" s="2973">
        <f t="shared" si="2"/>
        <v>540.91999999999996</v>
      </c>
      <c r="Q39" s="3085"/>
      <c r="R39" s="3085"/>
    </row>
    <row r="40" spans="1:18" ht="14.25" thickBot="1">
      <c r="A40">
        <v>39</v>
      </c>
      <c r="B40" s="2976" t="s">
        <v>3221</v>
      </c>
      <c r="C40">
        <v>440.53</v>
      </c>
      <c r="D40">
        <f t="shared" si="0"/>
        <v>21.35</v>
      </c>
      <c r="K40" s="3079"/>
      <c r="L40" s="3082"/>
      <c r="M40" s="2973" t="str">
        <f t="shared" si="1"/>
        <v>3-2107</v>
      </c>
      <c r="N40" s="3079"/>
      <c r="O40" s="2974">
        <v>18</v>
      </c>
      <c r="P40" s="2973">
        <f t="shared" si="2"/>
        <v>189.28</v>
      </c>
      <c r="Q40" s="3085"/>
      <c r="R40" s="3085"/>
    </row>
    <row r="41" spans="1:18" ht="14.25" thickBot="1">
      <c r="A41">
        <v>40</v>
      </c>
      <c r="B41" s="2976" t="s">
        <v>3222</v>
      </c>
      <c r="C41">
        <v>432.37</v>
      </c>
      <c r="D41">
        <f t="shared" si="0"/>
        <v>20.95</v>
      </c>
      <c r="K41" s="3079"/>
      <c r="L41" s="3082"/>
      <c r="M41" s="2973" t="str">
        <f t="shared" si="1"/>
        <v>3-2108</v>
      </c>
      <c r="N41" s="3079"/>
      <c r="O41" s="2974">
        <v>18</v>
      </c>
      <c r="P41" s="2973">
        <f t="shared" si="2"/>
        <v>440.53</v>
      </c>
      <c r="Q41" s="3085"/>
      <c r="R41" s="3085"/>
    </row>
    <row r="42" spans="1:18" ht="14.25" thickBot="1">
      <c r="A42">
        <v>41</v>
      </c>
      <c r="B42" s="2976" t="s">
        <v>3223</v>
      </c>
      <c r="C42">
        <v>683.76</v>
      </c>
      <c r="D42">
        <f t="shared" si="0"/>
        <v>33.14</v>
      </c>
      <c r="K42" s="3079"/>
      <c r="L42" s="3082"/>
      <c r="M42" s="2973" t="str">
        <f t="shared" si="1"/>
        <v>3-2109</v>
      </c>
      <c r="N42" s="3079"/>
      <c r="O42" s="2974">
        <v>18</v>
      </c>
      <c r="P42" s="2973">
        <f t="shared" si="2"/>
        <v>432.37</v>
      </c>
      <c r="Q42" s="3085"/>
      <c r="R42" s="3085"/>
    </row>
    <row r="43" spans="1:18" ht="14.25" thickBot="1">
      <c r="A43">
        <v>42</v>
      </c>
      <c r="B43" s="2976" t="s">
        <v>3224</v>
      </c>
      <c r="C43">
        <v>189.28</v>
      </c>
      <c r="D43">
        <f t="shared" si="0"/>
        <v>9.17</v>
      </c>
      <c r="K43" s="3079"/>
      <c r="L43" s="3082"/>
      <c r="M43" s="2973" t="str">
        <f t="shared" si="1"/>
        <v>3-2201</v>
      </c>
      <c r="N43" s="3079"/>
      <c r="O43" s="2974">
        <v>19</v>
      </c>
      <c r="P43" s="2973">
        <f t="shared" si="2"/>
        <v>683.76</v>
      </c>
      <c r="Q43" s="3085"/>
      <c r="R43" s="3085"/>
    </row>
    <row r="44" spans="1:18" ht="14.25" thickBot="1">
      <c r="A44">
        <v>43</v>
      </c>
      <c r="B44" s="2976" t="s">
        <v>3225</v>
      </c>
      <c r="C44">
        <v>562.29999999999995</v>
      </c>
      <c r="D44">
        <f t="shared" si="0"/>
        <v>27.25</v>
      </c>
      <c r="K44" s="3079"/>
      <c r="L44" s="3082"/>
      <c r="M44" s="2973" t="str">
        <f t="shared" si="1"/>
        <v>3-2203</v>
      </c>
      <c r="N44" s="3079"/>
      <c r="O44" s="2974">
        <v>19</v>
      </c>
      <c r="P44" s="2973">
        <f t="shared" si="2"/>
        <v>189.28</v>
      </c>
      <c r="Q44" s="3085"/>
      <c r="R44" s="3085"/>
    </row>
    <row r="45" spans="1:18" ht="14.25" thickBot="1">
      <c r="A45">
        <v>44</v>
      </c>
      <c r="B45" s="2976" t="s">
        <v>3226</v>
      </c>
      <c r="C45">
        <v>538.5</v>
      </c>
      <c r="D45">
        <f t="shared" si="0"/>
        <v>26.1</v>
      </c>
      <c r="K45" s="3079"/>
      <c r="L45" s="3082"/>
      <c r="M45" s="2973" t="str">
        <f t="shared" si="1"/>
        <v>3-2205</v>
      </c>
      <c r="N45" s="3079"/>
      <c r="O45" s="2974">
        <v>19</v>
      </c>
      <c r="P45" s="2973">
        <f t="shared" si="2"/>
        <v>562.29999999999995</v>
      </c>
      <c r="Q45" s="3085"/>
      <c r="R45" s="3085"/>
    </row>
    <row r="46" spans="1:18" ht="14.25" thickBot="1">
      <c r="A46">
        <v>45</v>
      </c>
      <c r="B46" s="2976" t="s">
        <v>3227</v>
      </c>
      <c r="C46">
        <v>189.28</v>
      </c>
      <c r="D46">
        <f t="shared" si="0"/>
        <v>9.17</v>
      </c>
      <c r="K46" s="3079"/>
      <c r="L46" s="3082"/>
      <c r="M46" s="2973" t="str">
        <f t="shared" si="1"/>
        <v>3-2206</v>
      </c>
      <c r="N46" s="3079"/>
      <c r="O46" s="2974">
        <v>19</v>
      </c>
      <c r="P46" s="2973">
        <f t="shared" si="2"/>
        <v>538.5</v>
      </c>
      <c r="Q46" s="3085"/>
      <c r="R46" s="3085"/>
    </row>
    <row r="47" spans="1:18" ht="14.25" thickBot="1">
      <c r="A47">
        <v>46</v>
      </c>
      <c r="B47" s="2976" t="s">
        <v>3228</v>
      </c>
      <c r="C47">
        <v>440.53</v>
      </c>
      <c r="D47">
        <f t="shared" si="0"/>
        <v>21.35</v>
      </c>
      <c r="K47" s="3079"/>
      <c r="L47" s="3082"/>
      <c r="M47" s="2973" t="str">
        <f t="shared" si="1"/>
        <v>3-2207</v>
      </c>
      <c r="N47" s="3079"/>
      <c r="O47" s="2974">
        <v>19</v>
      </c>
      <c r="P47" s="2973">
        <f t="shared" si="2"/>
        <v>189.28</v>
      </c>
      <c r="Q47" s="3085"/>
      <c r="R47" s="3085"/>
    </row>
    <row r="48" spans="1:18" ht="14.25" thickBot="1">
      <c r="A48">
        <v>47</v>
      </c>
      <c r="B48" s="2976" t="s">
        <v>3229</v>
      </c>
      <c r="C48">
        <v>432.37</v>
      </c>
      <c r="D48">
        <f t="shared" si="0"/>
        <v>20.95</v>
      </c>
      <c r="K48" s="3079"/>
      <c r="L48" s="3082"/>
      <c r="M48" s="2973" t="str">
        <f t="shared" si="1"/>
        <v>3-2208</v>
      </c>
      <c r="N48" s="3079"/>
      <c r="O48" s="2974">
        <v>19</v>
      </c>
      <c r="P48" s="2973">
        <f t="shared" si="2"/>
        <v>440.53</v>
      </c>
      <c r="Q48" s="3085"/>
      <c r="R48" s="3085"/>
    </row>
    <row r="49" spans="1:18" ht="14.25" thickBot="1">
      <c r="A49">
        <v>48</v>
      </c>
      <c r="B49" s="2976" t="s">
        <v>3230</v>
      </c>
      <c r="C49">
        <v>645.13</v>
      </c>
      <c r="D49">
        <f t="shared" si="0"/>
        <v>31.26</v>
      </c>
      <c r="K49" s="3079"/>
      <c r="L49" s="3082"/>
      <c r="M49" s="2973" t="str">
        <f t="shared" si="1"/>
        <v>3-2209</v>
      </c>
      <c r="N49" s="3079"/>
      <c r="O49" s="2974">
        <v>19</v>
      </c>
      <c r="P49" s="2973">
        <f t="shared" si="2"/>
        <v>432.37</v>
      </c>
      <c r="Q49" s="3085"/>
      <c r="R49" s="3085"/>
    </row>
    <row r="50" spans="1:18" ht="14.25" thickBot="1">
      <c r="A50">
        <v>49</v>
      </c>
      <c r="B50" s="2976" t="s">
        <v>3231</v>
      </c>
      <c r="C50">
        <v>189.28</v>
      </c>
      <c r="D50">
        <f t="shared" si="0"/>
        <v>9.17</v>
      </c>
      <c r="K50" s="3079"/>
      <c r="L50" s="3082"/>
      <c r="M50" s="2973" t="str">
        <f t="shared" si="1"/>
        <v>3-2601</v>
      </c>
      <c r="N50" s="3079"/>
      <c r="O50" s="2974">
        <v>22</v>
      </c>
      <c r="P50" s="2973">
        <f t="shared" si="2"/>
        <v>645.13</v>
      </c>
      <c r="Q50" s="3085"/>
      <c r="R50" s="3085"/>
    </row>
    <row r="51" spans="1:18" ht="14.25" thickBot="1">
      <c r="A51">
        <v>50</v>
      </c>
      <c r="B51" s="2976" t="s">
        <v>3232</v>
      </c>
      <c r="C51">
        <v>189.28</v>
      </c>
      <c r="D51">
        <f t="shared" si="0"/>
        <v>9.17</v>
      </c>
      <c r="K51" s="3079"/>
      <c r="L51" s="3082"/>
      <c r="M51" s="2973" t="str">
        <f t="shared" si="1"/>
        <v>3-2602</v>
      </c>
      <c r="N51" s="3079"/>
      <c r="O51" s="2974">
        <v>22</v>
      </c>
      <c r="P51" s="2973">
        <f t="shared" si="2"/>
        <v>189.28</v>
      </c>
      <c r="Q51" s="3085"/>
      <c r="R51" s="3085"/>
    </row>
    <row r="52" spans="1:18" ht="14.25" thickBot="1">
      <c r="A52">
        <v>51</v>
      </c>
      <c r="B52" s="2976" t="s">
        <v>3233</v>
      </c>
      <c r="C52">
        <v>633.87</v>
      </c>
      <c r="D52">
        <f t="shared" si="0"/>
        <v>30.72</v>
      </c>
      <c r="K52" s="3079"/>
      <c r="L52" s="3082"/>
      <c r="M52" s="2973" t="str">
        <f t="shared" si="1"/>
        <v>3-2603</v>
      </c>
      <c r="N52" s="3079"/>
      <c r="O52" s="2974">
        <v>22</v>
      </c>
      <c r="P52" s="2973">
        <f t="shared" si="2"/>
        <v>189.28</v>
      </c>
      <c r="Q52" s="3085"/>
      <c r="R52" s="3085"/>
    </row>
    <row r="53" spans="1:18" ht="14.25" thickBot="1">
      <c r="A53">
        <v>52</v>
      </c>
      <c r="B53" s="2976" t="s">
        <v>3234</v>
      </c>
      <c r="C53">
        <v>635.01</v>
      </c>
      <c r="D53">
        <f t="shared" si="0"/>
        <v>30.77</v>
      </c>
      <c r="K53" s="3079"/>
      <c r="L53" s="3082"/>
      <c r="M53" s="2973" t="str">
        <f t="shared" si="1"/>
        <v>3-2605</v>
      </c>
      <c r="N53" s="3079"/>
      <c r="O53" s="2974">
        <v>22</v>
      </c>
      <c r="P53" s="2973">
        <f t="shared" si="2"/>
        <v>633.87</v>
      </c>
      <c r="Q53" s="3085"/>
      <c r="R53" s="3085"/>
    </row>
    <row r="54" spans="1:18" ht="14.25" thickBot="1">
      <c r="A54">
        <v>53</v>
      </c>
      <c r="B54" s="2976" t="s">
        <v>3235</v>
      </c>
      <c r="C54">
        <v>188.16</v>
      </c>
      <c r="D54">
        <f t="shared" si="0"/>
        <v>9.1199999999999992</v>
      </c>
      <c r="K54" s="3079"/>
      <c r="L54" s="3082"/>
      <c r="M54" s="2973" t="str">
        <f t="shared" si="1"/>
        <v>3-2606</v>
      </c>
      <c r="N54" s="3079"/>
      <c r="O54" s="2974">
        <v>22</v>
      </c>
      <c r="P54" s="2973">
        <f t="shared" si="2"/>
        <v>635.01</v>
      </c>
      <c r="Q54" s="3085"/>
      <c r="R54" s="3085"/>
    </row>
    <row r="55" spans="1:18" ht="14.25" thickBot="1">
      <c r="A55">
        <v>54</v>
      </c>
      <c r="B55" s="2976" t="s">
        <v>3236</v>
      </c>
      <c r="C55">
        <v>440.11</v>
      </c>
      <c r="D55">
        <f t="shared" si="0"/>
        <v>21.33</v>
      </c>
      <c r="K55" s="3079"/>
      <c r="L55" s="3082"/>
      <c r="M55" s="2973" t="str">
        <f t="shared" si="1"/>
        <v>3-2607</v>
      </c>
      <c r="N55" s="3079"/>
      <c r="O55" s="2974">
        <v>22</v>
      </c>
      <c r="P55" s="2973">
        <f t="shared" si="2"/>
        <v>188.16</v>
      </c>
      <c r="Q55" s="3085"/>
      <c r="R55" s="3085"/>
    </row>
    <row r="56" spans="1:18" ht="14.25" thickBot="1">
      <c r="A56">
        <v>55</v>
      </c>
      <c r="B56" s="2976" t="s">
        <v>3237</v>
      </c>
      <c r="C56">
        <v>375.32</v>
      </c>
      <c r="D56">
        <f t="shared" si="0"/>
        <v>18.190000000000001</v>
      </c>
      <c r="K56" s="3079"/>
      <c r="L56" s="3082"/>
      <c r="M56" s="2973" t="str">
        <f t="shared" si="1"/>
        <v>3-2608</v>
      </c>
      <c r="N56" s="3079"/>
      <c r="O56" s="2974">
        <v>22</v>
      </c>
      <c r="P56" s="2973">
        <f t="shared" si="2"/>
        <v>440.11</v>
      </c>
      <c r="Q56" s="3085"/>
      <c r="R56" s="3085"/>
    </row>
    <row r="57" spans="1:18" ht="14.25" thickBot="1">
      <c r="A57">
        <v>56</v>
      </c>
      <c r="B57" s="2976" t="s">
        <v>3238</v>
      </c>
      <c r="C57">
        <v>643.27</v>
      </c>
      <c r="D57">
        <f t="shared" si="0"/>
        <v>31.17</v>
      </c>
      <c r="K57" s="3079"/>
      <c r="L57" s="3082"/>
      <c r="M57" s="2973" t="str">
        <f t="shared" si="1"/>
        <v>3-2609</v>
      </c>
      <c r="N57" s="3079"/>
      <c r="O57" s="2974">
        <v>22</v>
      </c>
      <c r="P57" s="2973">
        <f t="shared" si="2"/>
        <v>375.32</v>
      </c>
      <c r="Q57" s="3085"/>
      <c r="R57" s="3085"/>
    </row>
    <row r="58" spans="1:18" ht="14.25" thickBot="1">
      <c r="A58">
        <v>57</v>
      </c>
      <c r="B58" s="2976" t="s">
        <v>3239</v>
      </c>
      <c r="C58">
        <v>189.28</v>
      </c>
      <c r="D58">
        <f t="shared" si="0"/>
        <v>9.17</v>
      </c>
      <c r="K58" s="3079"/>
      <c r="L58" s="3082"/>
      <c r="M58" s="2973" t="str">
        <f t="shared" si="1"/>
        <v>3-2901</v>
      </c>
      <c r="N58" s="3079"/>
      <c r="O58" s="2974">
        <v>25</v>
      </c>
      <c r="P58" s="2973">
        <f t="shared" si="2"/>
        <v>643.27</v>
      </c>
      <c r="Q58" s="3085"/>
      <c r="R58" s="3085"/>
    </row>
    <row r="59" spans="1:18" ht="14.25" thickBot="1">
      <c r="A59">
        <v>58</v>
      </c>
      <c r="B59" s="2976" t="s">
        <v>3240</v>
      </c>
      <c r="C59">
        <v>633.87</v>
      </c>
      <c r="D59">
        <f t="shared" si="0"/>
        <v>30.72</v>
      </c>
      <c r="K59" s="3079"/>
      <c r="L59" s="3082"/>
      <c r="M59" s="2973" t="str">
        <f t="shared" si="1"/>
        <v>3-2902</v>
      </c>
      <c r="N59" s="3079"/>
      <c r="O59" s="2974">
        <v>25</v>
      </c>
      <c r="P59" s="2973">
        <f t="shared" si="2"/>
        <v>189.28</v>
      </c>
      <c r="Q59" s="3085"/>
      <c r="R59" s="3085"/>
    </row>
    <row r="60" spans="1:18" ht="14.25" thickBot="1">
      <c r="A60">
        <v>59</v>
      </c>
      <c r="B60" s="2976" t="s">
        <v>3241</v>
      </c>
      <c r="C60">
        <v>635.01</v>
      </c>
      <c r="D60">
        <f t="shared" si="0"/>
        <v>30.77</v>
      </c>
      <c r="K60" s="3079"/>
      <c r="L60" s="3082"/>
      <c r="M60" s="2973" t="str">
        <f t="shared" si="1"/>
        <v>3-2905</v>
      </c>
      <c r="N60" s="3079"/>
      <c r="O60" s="2974">
        <v>25</v>
      </c>
      <c r="P60" s="2973">
        <f t="shared" si="2"/>
        <v>633.87</v>
      </c>
      <c r="Q60" s="3085"/>
      <c r="R60" s="3085"/>
    </row>
    <row r="61" spans="1:18" ht="14.25" thickBot="1">
      <c r="A61">
        <v>60</v>
      </c>
      <c r="B61" s="2976" t="s">
        <v>3242</v>
      </c>
      <c r="C61">
        <v>188.16</v>
      </c>
      <c r="D61">
        <f t="shared" si="0"/>
        <v>9.1199999999999992</v>
      </c>
      <c r="K61" s="3079"/>
      <c r="L61" s="3082"/>
      <c r="M61" s="2973" t="str">
        <f t="shared" si="1"/>
        <v>3-2906</v>
      </c>
      <c r="N61" s="3079"/>
      <c r="O61" s="2974">
        <v>25</v>
      </c>
      <c r="P61" s="2973">
        <f t="shared" si="2"/>
        <v>635.01</v>
      </c>
      <c r="Q61" s="3085"/>
      <c r="R61" s="3085"/>
    </row>
    <row r="62" spans="1:18" ht="14.25" thickBot="1">
      <c r="A62">
        <v>61</v>
      </c>
      <c r="B62" s="2976" t="s">
        <v>3243</v>
      </c>
      <c r="C62">
        <v>440.11</v>
      </c>
      <c r="D62">
        <f t="shared" si="0"/>
        <v>21.33</v>
      </c>
      <c r="K62" s="3079"/>
      <c r="L62" s="3082"/>
      <c r="M62" s="2973" t="str">
        <f t="shared" si="1"/>
        <v>3-2907</v>
      </c>
      <c r="N62" s="3079"/>
      <c r="O62" s="2974">
        <v>25</v>
      </c>
      <c r="P62" s="2973">
        <f t="shared" si="2"/>
        <v>188.16</v>
      </c>
      <c r="Q62" s="3085"/>
      <c r="R62" s="3085"/>
    </row>
    <row r="63" spans="1:18" ht="14.25" thickBot="1">
      <c r="A63">
        <v>62</v>
      </c>
      <c r="B63" s="2976" t="s">
        <v>3244</v>
      </c>
      <c r="C63">
        <v>375.32</v>
      </c>
      <c r="D63">
        <f>C67-SUM(D2:D62)</f>
        <v>18.290000000000191</v>
      </c>
      <c r="K63" s="3079"/>
      <c r="L63" s="3082"/>
      <c r="M63" s="2973" t="str">
        <f t="shared" si="1"/>
        <v>3-2908</v>
      </c>
      <c r="N63" s="3079"/>
      <c r="O63" s="2974">
        <v>25</v>
      </c>
      <c r="P63" s="2973">
        <f t="shared" si="2"/>
        <v>440.11</v>
      </c>
      <c r="Q63" s="3085"/>
      <c r="R63" s="3085"/>
    </row>
    <row r="64" spans="1:18" ht="14.25" thickBot="1">
      <c r="C64">
        <f>SUM(C2:C63)</f>
        <v>25465.969999999994</v>
      </c>
      <c r="D64">
        <f>SUM(D2:D63)</f>
        <v>1234.1400000000001</v>
      </c>
      <c r="K64" s="3079"/>
      <c r="L64" s="3082"/>
      <c r="M64" s="2973" t="str">
        <f t="shared" si="1"/>
        <v>3-2909</v>
      </c>
      <c r="N64" s="3079"/>
      <c r="O64" s="2974">
        <v>25</v>
      </c>
      <c r="P64" s="2973">
        <f t="shared" si="2"/>
        <v>375.32</v>
      </c>
      <c r="Q64" s="3085"/>
      <c r="R64" s="3085"/>
    </row>
    <row r="65" spans="2:18" ht="14.25" thickBot="1">
      <c r="K65" s="3079"/>
      <c r="L65" s="3082"/>
      <c r="M65" s="2973"/>
      <c r="N65" s="3079"/>
      <c r="O65" s="2974"/>
      <c r="P65" s="2973"/>
      <c r="Q65" s="3085"/>
      <c r="R65" s="3085"/>
    </row>
    <row r="66" spans="2:18" ht="14.25" thickBot="1">
      <c r="K66" s="3079"/>
      <c r="L66" s="3082"/>
      <c r="M66" s="2973"/>
      <c r="N66" s="3079"/>
      <c r="O66" s="2974"/>
      <c r="P66" s="2973"/>
      <c r="Q66" s="3085"/>
      <c r="R66" s="3085"/>
    </row>
    <row r="67" spans="2:18" ht="14.25" thickBot="1">
      <c r="C67">
        <f>ROUND(C64/210005.46*10177.32,2)</f>
        <v>1234.1400000000001</v>
      </c>
      <c r="K67" s="3079"/>
      <c r="L67" s="3082"/>
      <c r="M67" s="2973"/>
      <c r="N67" s="3079"/>
      <c r="O67" s="2974"/>
      <c r="P67" s="2973"/>
      <c r="Q67" s="3085"/>
      <c r="R67" s="3085"/>
    </row>
    <row r="68" spans="2:18" ht="14.25" thickBot="1">
      <c r="K68" s="3079"/>
      <c r="L68" s="3082"/>
      <c r="M68" s="2973"/>
      <c r="N68" s="3079"/>
      <c r="O68" s="2974"/>
      <c r="P68" s="2973"/>
      <c r="Q68" s="3085"/>
      <c r="R68" s="3085"/>
    </row>
    <row r="69" spans="2:18" ht="14.25" thickBot="1">
      <c r="K69" s="3079"/>
      <c r="L69" s="3082"/>
      <c r="M69" s="2973"/>
      <c r="N69" s="3079"/>
      <c r="O69" s="2974"/>
      <c r="P69" s="2973"/>
      <c r="Q69" s="3085"/>
      <c r="R69" s="3085"/>
    </row>
    <row r="70" spans="2:18" ht="14.25" thickBot="1">
      <c r="K70" s="3079"/>
      <c r="L70" s="3082"/>
      <c r="M70" s="2973"/>
      <c r="N70" s="3079"/>
      <c r="O70" s="2974"/>
      <c r="P70" s="2973"/>
      <c r="Q70" s="3085"/>
      <c r="R70" s="3085"/>
    </row>
    <row r="71" spans="2:18" ht="14.25" thickBot="1">
      <c r="K71" s="3079"/>
      <c r="L71" s="3082"/>
      <c r="M71" s="2973"/>
      <c r="N71" s="3079"/>
      <c r="O71" s="2974"/>
      <c r="P71" s="2973"/>
      <c r="Q71" s="3085"/>
      <c r="R71" s="3085"/>
    </row>
    <row r="72" spans="2:18" ht="14.25" thickBot="1">
      <c r="K72" s="3079"/>
      <c r="L72" s="3082"/>
      <c r="M72" s="2973"/>
      <c r="N72" s="3079"/>
      <c r="O72" s="2974"/>
      <c r="P72" s="2973"/>
      <c r="Q72" s="3085"/>
      <c r="R72" s="3085"/>
    </row>
    <row r="73" spans="2:18" ht="14.25" thickBot="1">
      <c r="K73" s="3079"/>
      <c r="L73" s="3082"/>
      <c r="M73" s="2973"/>
      <c r="N73" s="3079"/>
      <c r="O73" s="2974"/>
      <c r="P73" s="2973"/>
      <c r="Q73" s="3085"/>
      <c r="R73" s="3085"/>
    </row>
    <row r="74" spans="2:18" ht="15" thickBot="1">
      <c r="B74" s="3063" t="s">
        <v>3251</v>
      </c>
      <c r="C74" s="3073" t="s">
        <v>3252</v>
      </c>
      <c r="D74" s="3073" t="s">
        <v>3253</v>
      </c>
      <c r="E74" s="3075" t="s">
        <v>3254</v>
      </c>
      <c r="F74" s="3076"/>
      <c r="G74" s="3077" t="s">
        <v>3255</v>
      </c>
      <c r="H74" s="3077"/>
      <c r="I74" s="3063" t="s">
        <v>3256</v>
      </c>
      <c r="J74" s="3063"/>
      <c r="K74" s="3079"/>
      <c r="L74" s="3082"/>
      <c r="M74" s="2973"/>
      <c r="N74" s="3079"/>
      <c r="O74" s="2974"/>
      <c r="P74" s="2973"/>
      <c r="Q74" s="3085"/>
      <c r="R74" s="3085"/>
    </row>
    <row r="75" spans="2:18" ht="15" thickBot="1">
      <c r="B75" s="3063"/>
      <c r="C75" s="3074"/>
      <c r="D75" s="3074"/>
      <c r="E75" s="2995" t="s">
        <v>3257</v>
      </c>
      <c r="F75" s="2995" t="s">
        <v>3258</v>
      </c>
      <c r="G75" s="2995" t="s">
        <v>3257</v>
      </c>
      <c r="H75" s="2995" t="s">
        <v>3258</v>
      </c>
      <c r="I75" s="2995" t="s">
        <v>3257</v>
      </c>
      <c r="J75" s="2995" t="s">
        <v>3258</v>
      </c>
      <c r="K75" s="3079"/>
      <c r="L75" s="3082"/>
      <c r="M75" s="2973"/>
      <c r="N75" s="3079"/>
      <c r="O75" s="2974"/>
      <c r="P75" s="2973"/>
      <c r="Q75" s="3085"/>
      <c r="R75" s="3085"/>
    </row>
    <row r="76" spans="2:18" ht="57.75" thickBot="1">
      <c r="B76" s="2525" t="s">
        <v>3259</v>
      </c>
      <c r="C76" s="2995">
        <f>C64</f>
        <v>25465.969999999994</v>
      </c>
      <c r="D76" s="2995">
        <f>D64</f>
        <v>1234.1400000000001</v>
      </c>
      <c r="E76" s="2995">
        <f ca="1">I76-G76</f>
        <v>-2334</v>
      </c>
      <c r="F76" s="2995">
        <f ca="1">J76-H76</f>
        <v>44080</v>
      </c>
      <c r="G76" s="2995">
        <f>ROUND(H76*C76/10000,0)</f>
        <v>16163</v>
      </c>
      <c r="H76" s="2995">
        <v>6347</v>
      </c>
      <c r="I76" s="2995">
        <f ca="1">系统读取表!B6</f>
        <v>13829</v>
      </c>
      <c r="J76" s="2995">
        <f ca="1">系统读取表!C5</f>
        <v>50427</v>
      </c>
      <c r="K76" s="3079"/>
      <c r="L76" s="3082"/>
      <c r="M76" s="2973"/>
      <c r="N76" s="3079"/>
      <c r="O76" s="2974"/>
      <c r="P76" s="2973"/>
      <c r="Q76" s="3085"/>
      <c r="R76" s="3085"/>
    </row>
    <row r="77" spans="2:18" ht="14.25" thickBot="1">
      <c r="K77" s="3079"/>
      <c r="L77" s="3082"/>
      <c r="M77" s="2973"/>
      <c r="N77" s="3079"/>
      <c r="O77" s="2974"/>
      <c r="P77" s="2973"/>
      <c r="Q77" s="3085"/>
      <c r="R77" s="3085"/>
    </row>
    <row r="78" spans="2:18" ht="14.25" thickBot="1">
      <c r="K78" s="3079"/>
      <c r="L78" s="3082"/>
      <c r="M78" s="2973"/>
      <c r="N78" s="3079"/>
      <c r="O78" s="2974"/>
      <c r="P78" s="2973"/>
      <c r="Q78" s="3085"/>
      <c r="R78" s="3085"/>
    </row>
    <row r="79" spans="2:18" ht="14.25" thickBot="1">
      <c r="K79" s="3079"/>
      <c r="L79" s="3082"/>
      <c r="M79" s="2973"/>
      <c r="N79" s="3079"/>
      <c r="O79" s="2974"/>
      <c r="P79" s="2973"/>
      <c r="Q79" s="3085"/>
      <c r="R79" s="3085"/>
    </row>
    <row r="80" spans="2:18" ht="14.25" thickBot="1">
      <c r="K80" s="3079"/>
      <c r="L80" s="3082"/>
      <c r="M80" s="2973"/>
      <c r="N80" s="3079"/>
      <c r="O80" s="2974"/>
      <c r="P80" s="2973"/>
      <c r="Q80" s="3085"/>
      <c r="R80" s="3085"/>
    </row>
    <row r="81" spans="1:18" ht="14.25" thickBot="1">
      <c r="K81" s="3079"/>
      <c r="L81" s="3082"/>
      <c r="M81" s="2973"/>
      <c r="N81" s="3079"/>
      <c r="O81" s="2974"/>
      <c r="P81" s="2973"/>
      <c r="Q81" s="3085"/>
      <c r="R81" s="3085"/>
    </row>
    <row r="82" spans="1:18" ht="14.25" thickBot="1">
      <c r="K82" s="3080"/>
      <c r="L82" s="3083"/>
      <c r="M82" s="2973"/>
      <c r="N82" s="3080"/>
      <c r="O82" s="2974"/>
      <c r="P82" s="2973"/>
      <c r="Q82" s="3086"/>
      <c r="R82" s="3086"/>
    </row>
    <row r="86" spans="1:18">
      <c r="A86">
        <v>1</v>
      </c>
      <c r="B86" s="2976" t="s">
        <v>3261</v>
      </c>
      <c r="C86">
        <v>683.76</v>
      </c>
      <c r="D86">
        <f>ROUND(C86/$C$106*$C$108,2)</f>
        <v>33.14</v>
      </c>
    </row>
    <row r="87" spans="1:18">
      <c r="A87">
        <v>2</v>
      </c>
      <c r="B87" s="2976" t="s">
        <v>3262</v>
      </c>
      <c r="C87">
        <v>189.28</v>
      </c>
      <c r="D87">
        <f t="shared" ref="D87:D104" si="3">ROUND(C87/$C$106*$C$108,2)</f>
        <v>9.17</v>
      </c>
    </row>
    <row r="88" spans="1:18">
      <c r="A88">
        <v>3</v>
      </c>
      <c r="B88" s="2976" t="s">
        <v>3263</v>
      </c>
      <c r="C88">
        <v>189.28</v>
      </c>
      <c r="D88">
        <f t="shared" si="3"/>
        <v>9.17</v>
      </c>
    </row>
    <row r="89" spans="1:18">
      <c r="A89">
        <v>4</v>
      </c>
      <c r="B89" s="2976" t="s">
        <v>3264</v>
      </c>
      <c r="C89">
        <v>540.91999999999996</v>
      </c>
      <c r="D89">
        <f t="shared" si="3"/>
        <v>26.21</v>
      </c>
    </row>
    <row r="90" spans="1:18">
      <c r="A90">
        <v>5</v>
      </c>
      <c r="B90" s="2976" t="s">
        <v>3265</v>
      </c>
      <c r="C90">
        <v>564.35</v>
      </c>
      <c r="D90">
        <f t="shared" si="3"/>
        <v>27.35</v>
      </c>
    </row>
    <row r="91" spans="1:18">
      <c r="A91">
        <v>6</v>
      </c>
      <c r="B91" s="2976" t="s">
        <v>3266</v>
      </c>
      <c r="C91">
        <v>189.28</v>
      </c>
      <c r="D91">
        <f t="shared" si="3"/>
        <v>9.17</v>
      </c>
    </row>
    <row r="92" spans="1:18">
      <c r="A92">
        <v>7</v>
      </c>
      <c r="B92" s="2976" t="s">
        <v>3273</v>
      </c>
      <c r="C92">
        <v>440.53</v>
      </c>
      <c r="D92">
        <f t="shared" si="3"/>
        <v>21.35</v>
      </c>
    </row>
    <row r="93" spans="1:18">
      <c r="A93">
        <v>8</v>
      </c>
      <c r="B93" s="2976" t="s">
        <v>3274</v>
      </c>
      <c r="C93">
        <v>432.37</v>
      </c>
      <c r="D93">
        <f t="shared" si="3"/>
        <v>20.95</v>
      </c>
    </row>
    <row r="94" spans="1:18">
      <c r="A94">
        <v>9</v>
      </c>
      <c r="B94" s="2976" t="s">
        <v>3268</v>
      </c>
      <c r="C94">
        <v>683.76</v>
      </c>
      <c r="D94">
        <f t="shared" si="3"/>
        <v>33.14</v>
      </c>
    </row>
    <row r="95" spans="1:18">
      <c r="A95">
        <v>10</v>
      </c>
      <c r="B95" s="2976" t="s">
        <v>3269</v>
      </c>
      <c r="C95">
        <v>189.28</v>
      </c>
      <c r="D95">
        <f t="shared" si="3"/>
        <v>9.17</v>
      </c>
    </row>
    <row r="96" spans="1:18">
      <c r="A96">
        <v>11</v>
      </c>
      <c r="B96" s="2976" t="s">
        <v>3270</v>
      </c>
      <c r="C96">
        <v>189.28</v>
      </c>
      <c r="D96">
        <f t="shared" si="3"/>
        <v>9.17</v>
      </c>
    </row>
    <row r="97" spans="1:4">
      <c r="A97">
        <v>12</v>
      </c>
      <c r="B97" s="2976" t="s">
        <v>3271</v>
      </c>
      <c r="C97">
        <v>534.33000000000004</v>
      </c>
      <c r="D97">
        <f t="shared" si="3"/>
        <v>25.89</v>
      </c>
    </row>
    <row r="98" spans="1:4">
      <c r="A98">
        <v>13</v>
      </c>
      <c r="B98" s="2976" t="s">
        <v>3275</v>
      </c>
      <c r="C98">
        <v>440.53</v>
      </c>
      <c r="D98">
        <f t="shared" si="3"/>
        <v>21.35</v>
      </c>
    </row>
    <row r="99" spans="1:4">
      <c r="A99">
        <v>14</v>
      </c>
      <c r="B99" s="2976" t="s">
        <v>3276</v>
      </c>
      <c r="C99">
        <v>432.37</v>
      </c>
      <c r="D99">
        <f t="shared" si="3"/>
        <v>20.95</v>
      </c>
    </row>
    <row r="100" spans="1:4">
      <c r="A100">
        <v>15</v>
      </c>
      <c r="B100" s="2976" t="s">
        <v>3272</v>
      </c>
      <c r="C100">
        <v>240.41</v>
      </c>
      <c r="D100">
        <f t="shared" si="3"/>
        <v>11.65</v>
      </c>
    </row>
    <row r="101" spans="1:4">
      <c r="A101">
        <v>16</v>
      </c>
      <c r="B101" s="2976" t="s">
        <v>3277</v>
      </c>
      <c r="C101">
        <v>198.69</v>
      </c>
      <c r="D101">
        <f t="shared" si="3"/>
        <v>9.6300000000000008</v>
      </c>
    </row>
    <row r="102" spans="1:4">
      <c r="A102">
        <v>17</v>
      </c>
      <c r="B102" s="2976" t="s">
        <v>3278</v>
      </c>
      <c r="C102">
        <v>557.80999999999995</v>
      </c>
      <c r="D102">
        <f t="shared" si="3"/>
        <v>27.03</v>
      </c>
    </row>
    <row r="103" spans="1:4">
      <c r="A103">
        <v>18</v>
      </c>
      <c r="B103" s="2976" t="s">
        <v>3279</v>
      </c>
      <c r="C103">
        <v>564.69000000000005</v>
      </c>
      <c r="D103">
        <f t="shared" si="3"/>
        <v>27.37</v>
      </c>
    </row>
    <row r="104" spans="1:4">
      <c r="A104">
        <v>19</v>
      </c>
      <c r="B104" s="2976" t="s">
        <v>3280</v>
      </c>
      <c r="C104">
        <v>197.6</v>
      </c>
      <c r="D104">
        <f t="shared" si="3"/>
        <v>9.58</v>
      </c>
    </row>
    <row r="105" spans="1:4">
      <c r="A105">
        <v>20</v>
      </c>
      <c r="B105" s="2976" t="s">
        <v>3281</v>
      </c>
      <c r="C105">
        <v>241.49</v>
      </c>
      <c r="D105">
        <f>C108-SUM(D86:D104)</f>
        <v>11.720000000000141</v>
      </c>
    </row>
    <row r="106" spans="1:4">
      <c r="C106">
        <f>SUM(C86:C105)</f>
        <v>7700.0099999999984</v>
      </c>
      <c r="D106">
        <f>SUM(D86:D105)</f>
        <v>373.16</v>
      </c>
    </row>
    <row r="108" spans="1:4">
      <c r="B108" s="2976" t="s">
        <v>3282</v>
      </c>
      <c r="C108">
        <f>ROUND(C106/210005.46*10177.32,2)</f>
        <v>373.16</v>
      </c>
    </row>
  </sheetData>
  <mergeCells count="11">
    <mergeCell ref="K3:K82"/>
    <mergeCell ref="L3:L82"/>
    <mergeCell ref="N3:N82"/>
    <mergeCell ref="Q3:Q82"/>
    <mergeCell ref="R3:R82"/>
    <mergeCell ref="I74:J74"/>
    <mergeCell ref="B74:B75"/>
    <mergeCell ref="C74:C75"/>
    <mergeCell ref="D74:D75"/>
    <mergeCell ref="E74:F74"/>
    <mergeCell ref="G74:H74"/>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opLeftCell="C70" workbookViewId="0">
      <selection activeCell="J89" sqref="J89"/>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71" t="s">
        <v>3064</v>
      </c>
      <c r="B1" s="2972" t="s">
        <v>3065</v>
      </c>
      <c r="C1" s="2972" t="s">
        <v>3066</v>
      </c>
      <c r="D1" s="2972" t="s">
        <v>3067</v>
      </c>
      <c r="E1" s="2972" t="s">
        <v>3068</v>
      </c>
      <c r="F1" s="2972" t="s">
        <v>3069</v>
      </c>
      <c r="G1" s="2972" t="s">
        <v>3070</v>
      </c>
      <c r="H1" s="2972" t="s">
        <v>3071</v>
      </c>
      <c r="I1" s="2972" t="s">
        <v>3072</v>
      </c>
    </row>
    <row r="2" spans="1:9" ht="14.25" thickBot="1">
      <c r="A2" s="3084" t="s">
        <v>3073</v>
      </c>
      <c r="B2" s="3078" t="s">
        <v>3074</v>
      </c>
      <c r="C2" s="3081" t="s">
        <v>3075</v>
      </c>
      <c r="D2" s="2973" t="s">
        <v>3076</v>
      </c>
      <c r="E2" s="3078" t="s">
        <v>3077</v>
      </c>
      <c r="F2" s="2974">
        <v>5</v>
      </c>
      <c r="G2" s="2973">
        <v>683.76</v>
      </c>
      <c r="H2" s="3084" t="s">
        <v>3078</v>
      </c>
      <c r="I2" s="3084" t="s">
        <v>3078</v>
      </c>
    </row>
    <row r="3" spans="1:9" ht="14.25" thickBot="1">
      <c r="A3" s="3085"/>
      <c r="B3" s="3079"/>
      <c r="C3" s="3082"/>
      <c r="D3" s="2973" t="s">
        <v>3079</v>
      </c>
      <c r="E3" s="3079"/>
      <c r="F3" s="2974">
        <v>5</v>
      </c>
      <c r="G3" s="2973">
        <v>189.28</v>
      </c>
      <c r="H3" s="3085"/>
      <c r="I3" s="3085"/>
    </row>
    <row r="4" spans="1:9" ht="14.25" thickBot="1">
      <c r="A4" s="3085"/>
      <c r="B4" s="3079"/>
      <c r="C4" s="3082"/>
      <c r="D4" s="2973" t="s">
        <v>3080</v>
      </c>
      <c r="E4" s="3079"/>
      <c r="F4" s="2974">
        <v>5</v>
      </c>
      <c r="G4" s="2973">
        <v>189.28</v>
      </c>
      <c r="H4" s="3085"/>
      <c r="I4" s="3085"/>
    </row>
    <row r="5" spans="1:9" ht="14.25" thickBot="1">
      <c r="A5" s="3085"/>
      <c r="B5" s="3079"/>
      <c r="C5" s="3082"/>
      <c r="D5" s="2973" t="s">
        <v>3081</v>
      </c>
      <c r="E5" s="3079"/>
      <c r="F5" s="2974">
        <v>5</v>
      </c>
      <c r="G5" s="2973">
        <v>540.91999999999996</v>
      </c>
      <c r="H5" s="3085"/>
      <c r="I5" s="3085"/>
    </row>
    <row r="6" spans="1:9" ht="14.25" thickBot="1">
      <c r="A6" s="3085"/>
      <c r="B6" s="3079"/>
      <c r="C6" s="3082"/>
      <c r="D6" s="2973" t="s">
        <v>3082</v>
      </c>
      <c r="E6" s="3079"/>
      <c r="F6" s="2974">
        <v>5</v>
      </c>
      <c r="G6" s="2973">
        <v>564.35</v>
      </c>
      <c r="H6" s="3085"/>
      <c r="I6" s="3085"/>
    </row>
    <row r="7" spans="1:9" ht="14.25" thickBot="1">
      <c r="A7" s="3085"/>
      <c r="B7" s="3079"/>
      <c r="C7" s="3082"/>
      <c r="D7" s="2973" t="s">
        <v>3083</v>
      </c>
      <c r="E7" s="3079"/>
      <c r="F7" s="2974">
        <v>5</v>
      </c>
      <c r="G7" s="2973">
        <v>189.28</v>
      </c>
      <c r="H7" s="3085"/>
      <c r="I7" s="3085"/>
    </row>
    <row r="8" spans="1:9" ht="14.25" thickBot="1">
      <c r="A8" s="3085"/>
      <c r="B8" s="3079"/>
      <c r="C8" s="3082"/>
      <c r="D8" s="2973" t="s">
        <v>3084</v>
      </c>
      <c r="E8" s="3079"/>
      <c r="F8" s="2974">
        <v>5</v>
      </c>
      <c r="G8" s="2973">
        <v>440.53</v>
      </c>
      <c r="H8" s="3085"/>
      <c r="I8" s="3085"/>
    </row>
    <row r="9" spans="1:9" ht="14.25" thickBot="1">
      <c r="A9" s="3085"/>
      <c r="B9" s="3079"/>
      <c r="C9" s="3082"/>
      <c r="D9" s="2973" t="s">
        <v>3085</v>
      </c>
      <c r="E9" s="3079"/>
      <c r="F9" s="2974">
        <v>5</v>
      </c>
      <c r="G9" s="2973">
        <v>432.37</v>
      </c>
      <c r="H9" s="3085"/>
      <c r="I9" s="3085"/>
    </row>
    <row r="10" spans="1:9" ht="14.25" thickBot="1">
      <c r="A10" s="3085"/>
      <c r="B10" s="3079"/>
      <c r="C10" s="3082"/>
      <c r="D10" s="2973" t="s">
        <v>3086</v>
      </c>
      <c r="E10" s="3079"/>
      <c r="F10" s="2974">
        <v>6</v>
      </c>
      <c r="G10" s="2973">
        <v>683.76</v>
      </c>
      <c r="H10" s="3085"/>
      <c r="I10" s="3085"/>
    </row>
    <row r="11" spans="1:9" ht="14.25" thickBot="1">
      <c r="A11" s="3085"/>
      <c r="B11" s="3079"/>
      <c r="C11" s="3082"/>
      <c r="D11" s="2973" t="s">
        <v>3087</v>
      </c>
      <c r="E11" s="3079"/>
      <c r="F11" s="2974">
        <v>6</v>
      </c>
      <c r="G11" s="2973">
        <v>189.28</v>
      </c>
      <c r="H11" s="3085"/>
      <c r="I11" s="3085"/>
    </row>
    <row r="12" spans="1:9" ht="14.25" thickBot="1">
      <c r="A12" s="3085"/>
      <c r="B12" s="3079"/>
      <c r="C12" s="3082"/>
      <c r="D12" s="2973" t="s">
        <v>3088</v>
      </c>
      <c r="E12" s="3079"/>
      <c r="F12" s="2974">
        <v>6</v>
      </c>
      <c r="G12" s="2973">
        <v>189.28</v>
      </c>
      <c r="H12" s="3085"/>
      <c r="I12" s="3085"/>
    </row>
    <row r="13" spans="1:9" ht="14.25" thickBot="1">
      <c r="A13" s="3085"/>
      <c r="B13" s="3079"/>
      <c r="C13" s="3082"/>
      <c r="D13" s="2973" t="s">
        <v>3089</v>
      </c>
      <c r="E13" s="3079"/>
      <c r="F13" s="2974">
        <v>6</v>
      </c>
      <c r="G13" s="2973">
        <v>540.91999999999996</v>
      </c>
      <c r="H13" s="3085"/>
      <c r="I13" s="3085"/>
    </row>
    <row r="14" spans="1:9" ht="14.25" thickBot="1">
      <c r="A14" s="3085"/>
      <c r="B14" s="3079"/>
      <c r="C14" s="3082"/>
      <c r="D14" s="2973" t="s">
        <v>3090</v>
      </c>
      <c r="E14" s="3079"/>
      <c r="F14" s="2974">
        <v>6</v>
      </c>
      <c r="G14" s="2973">
        <v>564.35</v>
      </c>
      <c r="H14" s="3085"/>
      <c r="I14" s="3085"/>
    </row>
    <row r="15" spans="1:9" ht="14.25" thickBot="1">
      <c r="A15" s="3085"/>
      <c r="B15" s="3079"/>
      <c r="C15" s="3082"/>
      <c r="D15" s="2973" t="s">
        <v>3091</v>
      </c>
      <c r="E15" s="3079"/>
      <c r="F15" s="2974">
        <v>6</v>
      </c>
      <c r="G15" s="2973">
        <v>189.28</v>
      </c>
      <c r="H15" s="3085"/>
      <c r="I15" s="3085"/>
    </row>
    <row r="16" spans="1:9" ht="14.25" thickBot="1">
      <c r="A16" s="3085"/>
      <c r="B16" s="3079"/>
      <c r="C16" s="3082"/>
      <c r="D16" s="2973" t="s">
        <v>3092</v>
      </c>
      <c r="E16" s="3079"/>
      <c r="F16" s="2974">
        <v>6</v>
      </c>
      <c r="G16" s="2973">
        <v>440.53</v>
      </c>
      <c r="H16" s="3085"/>
      <c r="I16" s="3085"/>
    </row>
    <row r="17" spans="1:9" ht="14.25" thickBot="1">
      <c r="A17" s="3085"/>
      <c r="B17" s="3079"/>
      <c r="C17" s="3082"/>
      <c r="D17" s="2973" t="s">
        <v>3093</v>
      </c>
      <c r="E17" s="3079"/>
      <c r="F17" s="2974">
        <v>6</v>
      </c>
      <c r="G17" s="2973">
        <v>432.37</v>
      </c>
      <c r="H17" s="3085"/>
      <c r="I17" s="3085"/>
    </row>
    <row r="18" spans="1:9" ht="14.25" thickBot="1">
      <c r="A18" s="3085"/>
      <c r="B18" s="3079"/>
      <c r="C18" s="3082"/>
      <c r="D18" s="2973" t="s">
        <v>3094</v>
      </c>
      <c r="E18" s="3079"/>
      <c r="F18" s="2974">
        <v>9</v>
      </c>
      <c r="G18" s="2973">
        <v>683.76</v>
      </c>
      <c r="H18" s="3085"/>
      <c r="I18" s="3085"/>
    </row>
    <row r="19" spans="1:9" ht="14.25" thickBot="1">
      <c r="A19" s="3085"/>
      <c r="B19" s="3079"/>
      <c r="C19" s="3082"/>
      <c r="D19" s="2973" t="s">
        <v>3095</v>
      </c>
      <c r="E19" s="3079"/>
      <c r="F19" s="2974">
        <v>9</v>
      </c>
      <c r="G19" s="2973">
        <v>189.28</v>
      </c>
      <c r="H19" s="3085"/>
      <c r="I19" s="3085"/>
    </row>
    <row r="20" spans="1:9" ht="14.25" thickBot="1">
      <c r="A20" s="3085"/>
      <c r="B20" s="3079"/>
      <c r="C20" s="3082"/>
      <c r="D20" s="2973" t="s">
        <v>3096</v>
      </c>
      <c r="E20" s="3079"/>
      <c r="F20" s="2974">
        <v>9</v>
      </c>
      <c r="G20" s="2973">
        <v>189.28</v>
      </c>
      <c r="H20" s="3085"/>
      <c r="I20" s="3085"/>
    </row>
    <row r="21" spans="1:9" ht="14.25" thickBot="1">
      <c r="A21" s="3085"/>
      <c r="B21" s="3079"/>
      <c r="C21" s="3082"/>
      <c r="D21" s="2973" t="s">
        <v>3097</v>
      </c>
      <c r="E21" s="3079"/>
      <c r="F21" s="2974">
        <v>9</v>
      </c>
      <c r="G21" s="2973">
        <v>540.91999999999996</v>
      </c>
      <c r="H21" s="3085"/>
      <c r="I21" s="3085"/>
    </row>
    <row r="22" spans="1:9" ht="14.25" thickBot="1">
      <c r="A22" s="3085"/>
      <c r="B22" s="3079"/>
      <c r="C22" s="3082"/>
      <c r="D22" s="2973" t="s">
        <v>3098</v>
      </c>
      <c r="E22" s="3079"/>
      <c r="F22" s="2974">
        <v>9</v>
      </c>
      <c r="G22" s="2973">
        <v>564.35</v>
      </c>
      <c r="H22" s="3085"/>
      <c r="I22" s="3085"/>
    </row>
    <row r="23" spans="1:9" ht="14.25" thickBot="1">
      <c r="A23" s="3085"/>
      <c r="B23" s="3079"/>
      <c r="C23" s="3082"/>
      <c r="D23" s="2973" t="s">
        <v>3099</v>
      </c>
      <c r="E23" s="3079"/>
      <c r="F23" s="2974">
        <v>9</v>
      </c>
      <c r="G23" s="2973">
        <v>189.28</v>
      </c>
      <c r="H23" s="3085"/>
      <c r="I23" s="3085"/>
    </row>
    <row r="24" spans="1:9" ht="14.25" thickBot="1">
      <c r="A24" s="3085"/>
      <c r="B24" s="3079"/>
      <c r="C24" s="3082"/>
      <c r="D24" s="2973" t="s">
        <v>3100</v>
      </c>
      <c r="E24" s="3079"/>
      <c r="F24" s="2974">
        <v>9</v>
      </c>
      <c r="G24" s="2973">
        <v>440.53</v>
      </c>
      <c r="H24" s="3085"/>
      <c r="I24" s="3085"/>
    </row>
    <row r="25" spans="1:9" ht="14.25" thickBot="1">
      <c r="A25" s="3085"/>
      <c r="B25" s="3079"/>
      <c r="C25" s="3082"/>
      <c r="D25" s="2973" t="s">
        <v>3101</v>
      </c>
      <c r="E25" s="3079"/>
      <c r="F25" s="2974">
        <v>9</v>
      </c>
      <c r="G25" s="2973">
        <v>432.37</v>
      </c>
      <c r="H25" s="3085"/>
      <c r="I25" s="3085"/>
    </row>
    <row r="26" spans="1:9" ht="14.25" thickBot="1">
      <c r="A26" s="3085"/>
      <c r="B26" s="3079"/>
      <c r="C26" s="3082"/>
      <c r="D26" s="2973" t="s">
        <v>3102</v>
      </c>
      <c r="E26" s="3079"/>
      <c r="F26" s="2974">
        <v>10</v>
      </c>
      <c r="G26" s="2973">
        <v>683.76</v>
      </c>
      <c r="H26" s="3085"/>
      <c r="I26" s="3085"/>
    </row>
    <row r="27" spans="1:9" ht="14.25" thickBot="1">
      <c r="A27" s="3085"/>
      <c r="B27" s="3079"/>
      <c r="C27" s="3082"/>
      <c r="D27" s="2973" t="s">
        <v>3103</v>
      </c>
      <c r="E27" s="3079"/>
      <c r="F27" s="2974">
        <v>10</v>
      </c>
      <c r="G27" s="2973">
        <v>189.28</v>
      </c>
      <c r="H27" s="3085"/>
      <c r="I27" s="3085"/>
    </row>
    <row r="28" spans="1:9" ht="14.25" thickBot="1">
      <c r="A28" s="3085"/>
      <c r="B28" s="3079"/>
      <c r="C28" s="3082"/>
      <c r="D28" s="2973" t="s">
        <v>3104</v>
      </c>
      <c r="E28" s="3079"/>
      <c r="F28" s="2974">
        <v>10</v>
      </c>
      <c r="G28" s="2973">
        <v>189.28</v>
      </c>
      <c r="H28" s="3085"/>
      <c r="I28" s="3085"/>
    </row>
    <row r="29" spans="1:9" ht="14.25" thickBot="1">
      <c r="A29" s="3085"/>
      <c r="B29" s="3079"/>
      <c r="C29" s="3082"/>
      <c r="D29" s="2973" t="s">
        <v>3105</v>
      </c>
      <c r="E29" s="3079"/>
      <c r="F29" s="2974">
        <v>10</v>
      </c>
      <c r="G29" s="2973">
        <v>540.91999999999996</v>
      </c>
      <c r="H29" s="3085"/>
      <c r="I29" s="3085"/>
    </row>
    <row r="30" spans="1:9" ht="14.25" thickBot="1">
      <c r="A30" s="3085"/>
      <c r="B30" s="3079"/>
      <c r="C30" s="3082"/>
      <c r="D30" s="2973" t="s">
        <v>3106</v>
      </c>
      <c r="E30" s="3079"/>
      <c r="F30" s="2974">
        <v>10</v>
      </c>
      <c r="G30" s="2973">
        <v>564.35</v>
      </c>
      <c r="H30" s="3085"/>
      <c r="I30" s="3085"/>
    </row>
    <row r="31" spans="1:9" ht="14.25" thickBot="1">
      <c r="A31" s="3085"/>
      <c r="B31" s="3079"/>
      <c r="C31" s="3082"/>
      <c r="D31" s="2973" t="s">
        <v>3107</v>
      </c>
      <c r="E31" s="3079"/>
      <c r="F31" s="2974">
        <v>10</v>
      </c>
      <c r="G31" s="2973">
        <v>189.28</v>
      </c>
      <c r="H31" s="3085"/>
      <c r="I31" s="3085"/>
    </row>
    <row r="32" spans="1:9" ht="14.25" thickBot="1">
      <c r="A32" s="3085"/>
      <c r="B32" s="3079"/>
      <c r="C32" s="3082"/>
      <c r="D32" s="2973" t="s">
        <v>3108</v>
      </c>
      <c r="E32" s="3079"/>
      <c r="F32" s="2974">
        <v>10</v>
      </c>
      <c r="G32" s="2973">
        <v>440.53</v>
      </c>
      <c r="H32" s="3085"/>
      <c r="I32" s="3085"/>
    </row>
    <row r="33" spans="1:9" ht="14.25" thickBot="1">
      <c r="A33" s="3085"/>
      <c r="B33" s="3079"/>
      <c r="C33" s="3082"/>
      <c r="D33" s="2973" t="s">
        <v>3109</v>
      </c>
      <c r="E33" s="3079"/>
      <c r="F33" s="2974">
        <v>10</v>
      </c>
      <c r="G33" s="2973">
        <v>432.37</v>
      </c>
      <c r="H33" s="3085"/>
      <c r="I33" s="3085"/>
    </row>
    <row r="34" spans="1:9" ht="14.25" thickBot="1">
      <c r="A34" s="3085"/>
      <c r="B34" s="3079"/>
      <c r="C34" s="3082"/>
      <c r="D34" s="2973" t="s">
        <v>3110</v>
      </c>
      <c r="E34" s="3079"/>
      <c r="F34" s="2974">
        <v>17</v>
      </c>
      <c r="G34" s="2973">
        <v>683.76</v>
      </c>
      <c r="H34" s="3085"/>
      <c r="I34" s="3085"/>
    </row>
    <row r="35" spans="1:9" ht="14.25" thickBot="1">
      <c r="A35" s="3085"/>
      <c r="B35" s="3079"/>
      <c r="C35" s="3082"/>
      <c r="D35" s="2973" t="s">
        <v>3111</v>
      </c>
      <c r="E35" s="3079"/>
      <c r="F35" s="2974">
        <v>17</v>
      </c>
      <c r="G35" s="2973">
        <v>189.28</v>
      </c>
      <c r="H35" s="3085"/>
      <c r="I35" s="3085"/>
    </row>
    <row r="36" spans="1:9" ht="14.25" thickBot="1">
      <c r="A36" s="3085"/>
      <c r="B36" s="3079"/>
      <c r="C36" s="3082"/>
      <c r="D36" s="2973" t="s">
        <v>3112</v>
      </c>
      <c r="E36" s="3079"/>
      <c r="F36" s="2974">
        <v>17</v>
      </c>
      <c r="G36" s="2973">
        <v>189.28</v>
      </c>
      <c r="H36" s="3085"/>
      <c r="I36" s="3085"/>
    </row>
    <row r="37" spans="1:9" ht="14.25" thickBot="1">
      <c r="A37" s="3085"/>
      <c r="B37" s="3079"/>
      <c r="C37" s="3082"/>
      <c r="D37" s="2973" t="s">
        <v>3113</v>
      </c>
      <c r="E37" s="3079"/>
      <c r="F37" s="2974">
        <v>17</v>
      </c>
      <c r="G37" s="2973">
        <v>534.33000000000004</v>
      </c>
      <c r="H37" s="3085"/>
      <c r="I37" s="3085"/>
    </row>
    <row r="38" spans="1:9" ht="14.25" thickBot="1">
      <c r="A38" s="3085"/>
      <c r="B38" s="3079"/>
      <c r="C38" s="3082"/>
      <c r="D38" s="2973" t="s">
        <v>3114</v>
      </c>
      <c r="E38" s="3079"/>
      <c r="F38" s="2974">
        <v>17</v>
      </c>
      <c r="G38" s="2973">
        <v>540.91999999999996</v>
      </c>
      <c r="H38" s="3085"/>
      <c r="I38" s="3085"/>
    </row>
    <row r="39" spans="1:9" ht="14.25" thickBot="1">
      <c r="A39" s="3085"/>
      <c r="B39" s="3079"/>
      <c r="C39" s="3082"/>
      <c r="D39" s="2973" t="s">
        <v>3115</v>
      </c>
      <c r="E39" s="3079"/>
      <c r="F39" s="2974">
        <v>17</v>
      </c>
      <c r="G39" s="2973">
        <v>189.28</v>
      </c>
      <c r="H39" s="3085"/>
      <c r="I39" s="3085"/>
    </row>
    <row r="40" spans="1:9" ht="14.25" thickBot="1">
      <c r="A40" s="3085"/>
      <c r="B40" s="3079"/>
      <c r="C40" s="3082"/>
      <c r="D40" s="2973" t="s">
        <v>3116</v>
      </c>
      <c r="E40" s="3079"/>
      <c r="F40" s="2974">
        <v>17</v>
      </c>
      <c r="G40" s="2973">
        <v>440.53</v>
      </c>
      <c r="H40" s="3085"/>
      <c r="I40" s="3085"/>
    </row>
    <row r="41" spans="1:9" ht="14.25" thickBot="1">
      <c r="A41" s="3085"/>
      <c r="B41" s="3079"/>
      <c r="C41" s="3082"/>
      <c r="D41" s="2973" t="s">
        <v>3117</v>
      </c>
      <c r="E41" s="3079"/>
      <c r="F41" s="2974">
        <v>17</v>
      </c>
      <c r="G41" s="2973">
        <v>432.37</v>
      </c>
      <c r="H41" s="3085"/>
      <c r="I41" s="3085"/>
    </row>
    <row r="42" spans="1:9" ht="14.25" thickBot="1">
      <c r="A42" s="3085"/>
      <c r="B42" s="3079"/>
      <c r="C42" s="3082"/>
      <c r="D42" s="2973" t="s">
        <v>3118</v>
      </c>
      <c r="E42" s="3079"/>
      <c r="F42" s="2974">
        <v>20</v>
      </c>
      <c r="G42" s="2973">
        <v>627.70000000000005</v>
      </c>
      <c r="H42" s="3085"/>
      <c r="I42" s="3085"/>
    </row>
    <row r="43" spans="1:9" ht="14.25" thickBot="1">
      <c r="A43" s="3085"/>
      <c r="B43" s="3079"/>
      <c r="C43" s="3082"/>
      <c r="D43" s="2973" t="s">
        <v>3119</v>
      </c>
      <c r="E43" s="3079"/>
      <c r="F43" s="2974">
        <v>20</v>
      </c>
      <c r="G43" s="2973">
        <v>189.28</v>
      </c>
      <c r="H43" s="3085"/>
      <c r="I43" s="3085"/>
    </row>
    <row r="44" spans="1:9" ht="14.25" thickBot="1">
      <c r="A44" s="3085"/>
      <c r="B44" s="3079"/>
      <c r="C44" s="3082"/>
      <c r="D44" s="2973" t="s">
        <v>3120</v>
      </c>
      <c r="E44" s="3079"/>
      <c r="F44" s="2974">
        <v>20</v>
      </c>
      <c r="G44" s="2973">
        <v>189.28</v>
      </c>
      <c r="H44" s="3085"/>
      <c r="I44" s="3085"/>
    </row>
    <row r="45" spans="1:9" ht="14.25" thickBot="1">
      <c r="A45" s="3085"/>
      <c r="B45" s="3079"/>
      <c r="C45" s="3082"/>
      <c r="D45" s="2973" t="s">
        <v>3121</v>
      </c>
      <c r="E45" s="3079"/>
      <c r="F45" s="2974">
        <v>20</v>
      </c>
      <c r="G45" s="2973">
        <v>633.87</v>
      </c>
      <c r="H45" s="3085"/>
      <c r="I45" s="3085"/>
    </row>
    <row r="46" spans="1:9" ht="14.25" thickBot="1">
      <c r="A46" s="3085"/>
      <c r="B46" s="3079"/>
      <c r="C46" s="3082"/>
      <c r="D46" s="2973" t="s">
        <v>3122</v>
      </c>
      <c r="E46" s="3079"/>
      <c r="F46" s="2974">
        <v>20</v>
      </c>
      <c r="G46" s="2973">
        <v>569.41999999999996</v>
      </c>
      <c r="H46" s="3085"/>
      <c r="I46" s="3085"/>
    </row>
    <row r="47" spans="1:9" ht="14.25" thickBot="1">
      <c r="A47" s="3085"/>
      <c r="B47" s="3079"/>
      <c r="C47" s="3082"/>
      <c r="D47" s="2973" t="s">
        <v>3123</v>
      </c>
      <c r="E47" s="3079"/>
      <c r="F47" s="2974">
        <v>20</v>
      </c>
      <c r="G47" s="2973">
        <v>188.16</v>
      </c>
      <c r="H47" s="3085"/>
      <c r="I47" s="3085"/>
    </row>
    <row r="48" spans="1:9" ht="14.25" thickBot="1">
      <c r="A48" s="3085"/>
      <c r="B48" s="3079"/>
      <c r="C48" s="3082"/>
      <c r="D48" s="2973" t="s">
        <v>3124</v>
      </c>
      <c r="E48" s="3079"/>
      <c r="F48" s="2974">
        <v>20</v>
      </c>
      <c r="G48" s="2973">
        <v>440.11</v>
      </c>
      <c r="H48" s="3085"/>
      <c r="I48" s="3085"/>
    </row>
    <row r="49" spans="1:9" ht="14.25" thickBot="1">
      <c r="A49" s="3085"/>
      <c r="B49" s="3079"/>
      <c r="C49" s="3082"/>
      <c r="D49" s="2973" t="s">
        <v>3125</v>
      </c>
      <c r="E49" s="3079"/>
      <c r="F49" s="2974">
        <v>20</v>
      </c>
      <c r="G49" s="2973">
        <v>354.46</v>
      </c>
      <c r="H49" s="3085"/>
      <c r="I49" s="3085"/>
    </row>
    <row r="50" spans="1:9" ht="14.25" thickBot="1">
      <c r="A50" s="3085"/>
      <c r="B50" s="3079"/>
      <c r="C50" s="3082"/>
      <c r="D50" s="2973" t="s">
        <v>3126</v>
      </c>
      <c r="E50" s="3079"/>
      <c r="F50" s="2974">
        <v>21</v>
      </c>
      <c r="G50" s="2973">
        <v>645.97</v>
      </c>
      <c r="H50" s="3085"/>
      <c r="I50" s="3085"/>
    </row>
    <row r="51" spans="1:9" ht="14.25" thickBot="1">
      <c r="A51" s="3085"/>
      <c r="B51" s="3079"/>
      <c r="C51" s="3082"/>
      <c r="D51" s="2973" t="s">
        <v>3127</v>
      </c>
      <c r="E51" s="3079"/>
      <c r="F51" s="2974">
        <v>21</v>
      </c>
      <c r="G51" s="2973">
        <v>189.28</v>
      </c>
      <c r="H51" s="3085"/>
      <c r="I51" s="3085"/>
    </row>
    <row r="52" spans="1:9" ht="14.25" thickBot="1">
      <c r="A52" s="3085"/>
      <c r="B52" s="3079"/>
      <c r="C52" s="3082"/>
      <c r="D52" s="2973" t="s">
        <v>3128</v>
      </c>
      <c r="E52" s="3079"/>
      <c r="F52" s="2974">
        <v>21</v>
      </c>
      <c r="G52" s="2973">
        <v>189.28</v>
      </c>
      <c r="H52" s="3085"/>
      <c r="I52" s="3085"/>
    </row>
    <row r="53" spans="1:9" ht="14.25" thickBot="1">
      <c r="A53" s="3085"/>
      <c r="B53" s="3079"/>
      <c r="C53" s="3082"/>
      <c r="D53" s="2973" t="s">
        <v>3129</v>
      </c>
      <c r="E53" s="3079"/>
      <c r="F53" s="2974">
        <v>21</v>
      </c>
      <c r="G53" s="2973">
        <v>633.87</v>
      </c>
      <c r="H53" s="3085"/>
      <c r="I53" s="3085"/>
    </row>
    <row r="54" spans="1:9" ht="14.25" thickBot="1">
      <c r="A54" s="3085"/>
      <c r="B54" s="3079"/>
      <c r="C54" s="3082"/>
      <c r="D54" s="2973" t="s">
        <v>3130</v>
      </c>
      <c r="E54" s="3079"/>
      <c r="F54" s="2974">
        <v>21</v>
      </c>
      <c r="G54" s="2973">
        <v>635.01</v>
      </c>
      <c r="H54" s="3085"/>
      <c r="I54" s="3085"/>
    </row>
    <row r="55" spans="1:9" ht="14.25" thickBot="1">
      <c r="A55" s="3085"/>
      <c r="B55" s="3079"/>
      <c r="C55" s="3082"/>
      <c r="D55" s="2973" t="s">
        <v>3131</v>
      </c>
      <c r="E55" s="3079"/>
      <c r="F55" s="2974">
        <v>21</v>
      </c>
      <c r="G55" s="2973">
        <v>188.16</v>
      </c>
      <c r="H55" s="3085"/>
      <c r="I55" s="3085"/>
    </row>
    <row r="56" spans="1:9" ht="14.25" thickBot="1">
      <c r="A56" s="3085"/>
      <c r="B56" s="3079"/>
      <c r="C56" s="3082"/>
      <c r="D56" s="2973" t="s">
        <v>3132</v>
      </c>
      <c r="E56" s="3079"/>
      <c r="F56" s="2974">
        <v>21</v>
      </c>
      <c r="G56" s="2973">
        <v>440.11</v>
      </c>
      <c r="H56" s="3085"/>
      <c r="I56" s="3085"/>
    </row>
    <row r="57" spans="1:9" ht="14.25" thickBot="1">
      <c r="A57" s="3085"/>
      <c r="B57" s="3079"/>
      <c r="C57" s="3082"/>
      <c r="D57" s="2973" t="s">
        <v>3133</v>
      </c>
      <c r="E57" s="3079"/>
      <c r="F57" s="2974">
        <v>21</v>
      </c>
      <c r="G57" s="2973">
        <v>375.32</v>
      </c>
      <c r="H57" s="3085"/>
      <c r="I57" s="3085"/>
    </row>
    <row r="58" spans="1:9" ht="14.25" thickBot="1">
      <c r="A58" s="3085"/>
      <c r="B58" s="3079"/>
      <c r="C58" s="3082"/>
      <c r="D58" s="2973" t="s">
        <v>3134</v>
      </c>
      <c r="E58" s="3079"/>
      <c r="F58" s="2974">
        <v>26</v>
      </c>
      <c r="G58" s="2973">
        <v>642.15</v>
      </c>
      <c r="H58" s="3085"/>
      <c r="I58" s="3085"/>
    </row>
    <row r="59" spans="1:9" ht="14.25" thickBot="1">
      <c r="A59" s="3085"/>
      <c r="B59" s="3079"/>
      <c r="C59" s="3082"/>
      <c r="D59" s="2973" t="s">
        <v>3135</v>
      </c>
      <c r="E59" s="3079"/>
      <c r="F59" s="2974">
        <v>26</v>
      </c>
      <c r="G59" s="2973">
        <v>189.28</v>
      </c>
      <c r="H59" s="3085"/>
      <c r="I59" s="3085"/>
    </row>
    <row r="60" spans="1:9" ht="14.25" thickBot="1">
      <c r="A60" s="3085"/>
      <c r="B60" s="3079"/>
      <c r="C60" s="3082"/>
      <c r="D60" s="2973" t="s">
        <v>3136</v>
      </c>
      <c r="E60" s="3079"/>
      <c r="F60" s="2974">
        <v>26</v>
      </c>
      <c r="G60" s="2973">
        <v>189.28</v>
      </c>
      <c r="H60" s="3085"/>
      <c r="I60" s="3085"/>
    </row>
    <row r="61" spans="1:9" ht="14.25" thickBot="1">
      <c r="A61" s="3085"/>
      <c r="B61" s="3079"/>
      <c r="C61" s="3082"/>
      <c r="D61" s="2973" t="s">
        <v>3137</v>
      </c>
      <c r="E61" s="3079"/>
      <c r="F61" s="2974">
        <v>26</v>
      </c>
      <c r="G61" s="2973">
        <v>633.87</v>
      </c>
      <c r="H61" s="3085"/>
      <c r="I61" s="3085"/>
    </row>
    <row r="62" spans="1:9" ht="14.25" thickBot="1">
      <c r="A62" s="3085"/>
      <c r="B62" s="3079"/>
      <c r="C62" s="3082"/>
      <c r="D62" s="2973" t="s">
        <v>3138</v>
      </c>
      <c r="E62" s="3079"/>
      <c r="F62" s="2974">
        <v>26</v>
      </c>
      <c r="G62" s="2973">
        <v>635.01</v>
      </c>
      <c r="H62" s="3085"/>
      <c r="I62" s="3085"/>
    </row>
    <row r="63" spans="1:9" ht="14.25" thickBot="1">
      <c r="A63" s="3085"/>
      <c r="B63" s="3079"/>
      <c r="C63" s="3082"/>
      <c r="D63" s="2973" t="s">
        <v>3139</v>
      </c>
      <c r="E63" s="3079"/>
      <c r="F63" s="2974">
        <v>26</v>
      </c>
      <c r="G63" s="2973">
        <v>188.16</v>
      </c>
      <c r="H63" s="3085"/>
      <c r="I63" s="3085"/>
    </row>
    <row r="64" spans="1:9" ht="14.25" thickBot="1">
      <c r="A64" s="3085"/>
      <c r="B64" s="3079"/>
      <c r="C64" s="3082"/>
      <c r="D64" s="2973" t="s">
        <v>3140</v>
      </c>
      <c r="E64" s="3079"/>
      <c r="F64" s="2974">
        <v>26</v>
      </c>
      <c r="G64" s="2973">
        <v>440.11</v>
      </c>
      <c r="H64" s="3085"/>
      <c r="I64" s="3085"/>
    </row>
    <row r="65" spans="1:9" ht="14.25" thickBot="1">
      <c r="A65" s="3085"/>
      <c r="B65" s="3079"/>
      <c r="C65" s="3082"/>
      <c r="D65" s="2973" t="s">
        <v>3141</v>
      </c>
      <c r="E65" s="3079"/>
      <c r="F65" s="2974">
        <v>26</v>
      </c>
      <c r="G65" s="2973">
        <v>375.49</v>
      </c>
      <c r="H65" s="3085"/>
      <c r="I65" s="3085"/>
    </row>
    <row r="66" spans="1:9" ht="14.25" thickBot="1">
      <c r="A66" s="3085"/>
      <c r="B66" s="3079"/>
      <c r="C66" s="3082"/>
      <c r="D66" s="2973" t="s">
        <v>3142</v>
      </c>
      <c r="E66" s="3079"/>
      <c r="F66" s="2974">
        <v>27</v>
      </c>
      <c r="G66" s="2973">
        <v>642.15</v>
      </c>
      <c r="H66" s="3085"/>
      <c r="I66" s="3085"/>
    </row>
    <row r="67" spans="1:9" ht="14.25" thickBot="1">
      <c r="A67" s="3085"/>
      <c r="B67" s="3079"/>
      <c r="C67" s="3082"/>
      <c r="D67" s="2973" t="s">
        <v>3143</v>
      </c>
      <c r="E67" s="3079"/>
      <c r="F67" s="2974">
        <v>27</v>
      </c>
      <c r="G67" s="2973">
        <v>189.28</v>
      </c>
      <c r="H67" s="3085"/>
      <c r="I67" s="3085"/>
    </row>
    <row r="68" spans="1:9" ht="14.25" thickBot="1">
      <c r="A68" s="3085"/>
      <c r="B68" s="3079"/>
      <c r="C68" s="3082"/>
      <c r="D68" s="2973" t="s">
        <v>3144</v>
      </c>
      <c r="E68" s="3079"/>
      <c r="F68" s="2974">
        <v>27</v>
      </c>
      <c r="G68" s="2973">
        <v>189.28</v>
      </c>
      <c r="H68" s="3085"/>
      <c r="I68" s="3085"/>
    </row>
    <row r="69" spans="1:9" ht="14.25" thickBot="1">
      <c r="A69" s="3085"/>
      <c r="B69" s="3079"/>
      <c r="C69" s="3082"/>
      <c r="D69" s="2973" t="s">
        <v>3145</v>
      </c>
      <c r="E69" s="3079"/>
      <c r="F69" s="2974">
        <v>27</v>
      </c>
      <c r="G69" s="2973">
        <v>633.87</v>
      </c>
      <c r="H69" s="3085"/>
      <c r="I69" s="3085"/>
    </row>
    <row r="70" spans="1:9" ht="14.25" thickBot="1">
      <c r="A70" s="3085"/>
      <c r="B70" s="3079"/>
      <c r="C70" s="3082"/>
      <c r="D70" s="2973" t="s">
        <v>3146</v>
      </c>
      <c r="E70" s="3079"/>
      <c r="F70" s="2974">
        <v>27</v>
      </c>
      <c r="G70" s="2973">
        <v>635.01</v>
      </c>
      <c r="H70" s="3085"/>
      <c r="I70" s="3085"/>
    </row>
    <row r="71" spans="1:9" ht="14.25" thickBot="1">
      <c r="A71" s="3085"/>
      <c r="B71" s="3079"/>
      <c r="C71" s="3082"/>
      <c r="D71" s="2973" t="s">
        <v>3147</v>
      </c>
      <c r="E71" s="3079"/>
      <c r="F71" s="2974">
        <v>27</v>
      </c>
      <c r="G71" s="2973">
        <v>188.16</v>
      </c>
      <c r="H71" s="3085"/>
      <c r="I71" s="3085"/>
    </row>
    <row r="72" spans="1:9" ht="14.25" thickBot="1">
      <c r="A72" s="3085"/>
      <c r="B72" s="3079"/>
      <c r="C72" s="3082"/>
      <c r="D72" s="2973" t="s">
        <v>3148</v>
      </c>
      <c r="E72" s="3079"/>
      <c r="F72" s="2974">
        <v>27</v>
      </c>
      <c r="G72" s="2973">
        <v>440.11</v>
      </c>
      <c r="H72" s="3085"/>
      <c r="I72" s="3085"/>
    </row>
    <row r="73" spans="1:9" ht="14.25" thickBot="1">
      <c r="A73" s="3085"/>
      <c r="B73" s="3079"/>
      <c r="C73" s="3082"/>
      <c r="D73" s="2973" t="s">
        <v>3149</v>
      </c>
      <c r="E73" s="3079"/>
      <c r="F73" s="2974">
        <v>27</v>
      </c>
      <c r="G73" s="2973">
        <v>373.44</v>
      </c>
      <c r="H73" s="3085"/>
      <c r="I73" s="3085"/>
    </row>
    <row r="74" spans="1:9" ht="14.25" thickBot="1">
      <c r="A74" s="3085"/>
      <c r="B74" s="3079"/>
      <c r="C74" s="3082"/>
      <c r="D74" s="2973" t="s">
        <v>3150</v>
      </c>
      <c r="E74" s="3079"/>
      <c r="F74" s="2974">
        <v>30</v>
      </c>
      <c r="G74" s="2973">
        <v>640.97</v>
      </c>
      <c r="H74" s="3085"/>
      <c r="I74" s="3085"/>
    </row>
    <row r="75" spans="1:9" ht="14.25" thickBot="1">
      <c r="A75" s="3085"/>
      <c r="B75" s="3079"/>
      <c r="C75" s="3082"/>
      <c r="D75" s="2973" t="s">
        <v>3151</v>
      </c>
      <c r="E75" s="3079"/>
      <c r="F75" s="2974">
        <v>30</v>
      </c>
      <c r="G75" s="2973">
        <v>189.28</v>
      </c>
      <c r="H75" s="3085"/>
      <c r="I75" s="3085"/>
    </row>
    <row r="76" spans="1:9" ht="14.25" thickBot="1">
      <c r="A76" s="3085"/>
      <c r="B76" s="3079"/>
      <c r="C76" s="3082"/>
      <c r="D76" s="2973" t="s">
        <v>3152</v>
      </c>
      <c r="E76" s="3079"/>
      <c r="F76" s="2974">
        <v>30</v>
      </c>
      <c r="G76" s="2973">
        <v>189.28</v>
      </c>
      <c r="H76" s="3085"/>
      <c r="I76" s="3085"/>
    </row>
    <row r="77" spans="1:9" ht="14.25" thickBot="1">
      <c r="A77" s="3085"/>
      <c r="B77" s="3079"/>
      <c r="C77" s="3082"/>
      <c r="D77" s="2973" t="s">
        <v>3153</v>
      </c>
      <c r="E77" s="3079"/>
      <c r="F77" s="2974">
        <v>30</v>
      </c>
      <c r="G77" s="2973">
        <v>633.87</v>
      </c>
      <c r="H77" s="3085"/>
      <c r="I77" s="3085"/>
    </row>
    <row r="78" spans="1:9" ht="14.25" thickBot="1">
      <c r="A78" s="3085"/>
      <c r="B78" s="3079"/>
      <c r="C78" s="3082"/>
      <c r="D78" s="2973" t="s">
        <v>3154</v>
      </c>
      <c r="E78" s="3079"/>
      <c r="F78" s="2974">
        <v>30</v>
      </c>
      <c r="G78" s="2973">
        <v>635.01</v>
      </c>
      <c r="H78" s="3085"/>
      <c r="I78" s="3085"/>
    </row>
    <row r="79" spans="1:9" ht="14.25" thickBot="1">
      <c r="A79" s="3085"/>
      <c r="B79" s="3079"/>
      <c r="C79" s="3082"/>
      <c r="D79" s="2973" t="s">
        <v>3155</v>
      </c>
      <c r="E79" s="3079"/>
      <c r="F79" s="2974">
        <v>30</v>
      </c>
      <c r="G79" s="2973">
        <v>188.16</v>
      </c>
      <c r="H79" s="3085"/>
      <c r="I79" s="3085"/>
    </row>
    <row r="80" spans="1:9" ht="14.25" thickBot="1">
      <c r="A80" s="3085"/>
      <c r="B80" s="3079"/>
      <c r="C80" s="3082"/>
      <c r="D80" s="2973" t="s">
        <v>3156</v>
      </c>
      <c r="E80" s="3079"/>
      <c r="F80" s="2974">
        <v>30</v>
      </c>
      <c r="G80" s="2973">
        <v>440.11</v>
      </c>
      <c r="H80" s="3085"/>
      <c r="I80" s="3085"/>
    </row>
    <row r="81" spans="1:9" ht="14.25" thickBot="1">
      <c r="A81" s="3085"/>
      <c r="B81" s="3080"/>
      <c r="C81" s="3083"/>
      <c r="D81" s="2973" t="s">
        <v>3157</v>
      </c>
      <c r="E81" s="3080"/>
      <c r="F81" s="2974">
        <v>30</v>
      </c>
      <c r="G81" s="2973">
        <v>372.35</v>
      </c>
      <c r="H81" s="3086"/>
      <c r="I81" s="3086"/>
    </row>
    <row r="82" spans="1:9" ht="14.25" thickBot="1">
      <c r="A82" s="2975" t="s">
        <v>37</v>
      </c>
      <c r="B82" s="3087"/>
      <c r="C82" s="3088"/>
      <c r="D82" s="3088"/>
      <c r="E82" s="3088"/>
      <c r="F82" s="3089"/>
      <c r="G82" s="3090">
        <f>SUM(G2:G81)</f>
        <v>32481.78999999999</v>
      </c>
      <c r="H82" s="3091"/>
      <c r="I82" s="3092"/>
    </row>
    <row r="85" spans="1:9">
      <c r="H85">
        <f>ROUND(G82/210005.46*10177.32,2)</f>
        <v>1574.14</v>
      </c>
    </row>
    <row r="89" spans="1:9">
      <c r="C89" s="3093" t="str">
        <f>[1]结果表!D116</f>
        <v>出让国有建设用地使用权价值</v>
      </c>
      <c r="D89" s="3093"/>
      <c r="E89" s="3093" t="str">
        <f>[1]结果表!F116</f>
        <v>在建建筑物价值</v>
      </c>
      <c r="F89" s="3093"/>
      <c r="G89" s="3093" t="str">
        <f>[1]结果表!H116</f>
        <v>房地产价值</v>
      </c>
      <c r="H89" s="3093"/>
    </row>
    <row r="90" spans="1:9">
      <c r="C90" s="2976" t="s">
        <v>3158</v>
      </c>
      <c r="D90" s="2976" t="s">
        <v>3159</v>
      </c>
      <c r="E90" s="2976" t="s">
        <v>3158</v>
      </c>
      <c r="F90" s="2976" t="s">
        <v>3159</v>
      </c>
      <c r="G90" s="2976" t="s">
        <v>3158</v>
      </c>
      <c r="H90" s="2976" t="s">
        <v>3159</v>
      </c>
    </row>
    <row r="91" spans="1:9">
      <c r="B91">
        <f>'结果表-基准'!B118</f>
        <v>683.76</v>
      </c>
      <c r="C91">
        <f ca="1">G91-E91</f>
        <v>38395</v>
      </c>
      <c r="D91">
        <f ca="1">H91-F91</f>
        <v>44082</v>
      </c>
      <c r="E91">
        <f ca="1">ROUND(F91*B91/10000,0)</f>
        <v>434</v>
      </c>
      <c r="F91">
        <f ca="1">'结果表-基准'!G118</f>
        <v>6345</v>
      </c>
      <c r="G91">
        <f ca="1">系统读取表!B5</f>
        <v>38829</v>
      </c>
      <c r="H91">
        <f ca="1">系统读取表!C5</f>
        <v>50427</v>
      </c>
    </row>
    <row r="93" spans="1:9">
      <c r="B93">
        <f ca="1">'结果表-基准'!D35</f>
        <v>0.125</v>
      </c>
    </row>
    <row r="96" spans="1:9">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9" sqref="J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3" t="s">
        <v>1934</v>
      </c>
      <c r="B2" s="3103"/>
      <c r="C2" s="3103"/>
      <c r="D2" s="967" t="s">
        <v>1910</v>
      </c>
      <c r="E2" s="2226" t="s">
        <v>1911</v>
      </c>
      <c r="F2" s="1391"/>
      <c r="G2" s="2227"/>
      <c r="H2" s="2228"/>
      <c r="I2" s="2229" t="s">
        <v>1935</v>
      </c>
      <c r="J2" s="1391"/>
      <c r="K2" s="1391"/>
      <c r="L2" s="1391"/>
      <c r="M2" s="1391"/>
      <c r="N2" s="1426"/>
      <c r="O2" s="1391"/>
      <c r="P2" s="1391"/>
    </row>
    <row r="3" spans="1:16" ht="15.75" thickBot="1">
      <c r="A3" s="3104" t="s">
        <v>1908</v>
      </c>
      <c r="B3" s="3104"/>
      <c r="C3" s="3104"/>
      <c r="D3" s="46">
        <f>'数据-基础表'!AY6</f>
        <v>373.16</v>
      </c>
      <c r="E3" s="46">
        <f>'数据-基础表'!AZ5</f>
        <v>7700.0099999999984</v>
      </c>
      <c r="F3" s="1391"/>
      <c r="G3" s="1398"/>
      <c r="H3" s="1246" t="s">
        <v>1909</v>
      </c>
      <c r="I3" s="55">
        <f>ROUND('数据-基础表'!B3/'数据-基础表'!A3,2)</f>
        <v>20.63</v>
      </c>
      <c r="J3" s="1391"/>
      <c r="K3" s="1391"/>
      <c r="L3" s="1391"/>
      <c r="M3" s="1391"/>
      <c r="N3" s="1426"/>
      <c r="O3" s="1391"/>
      <c r="P3" s="1391"/>
    </row>
    <row r="4" spans="1:16" ht="15">
      <c r="A4" s="3105"/>
      <c r="B4" s="3106"/>
      <c r="C4" s="3107"/>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08" t="s">
        <v>1913</v>
      </c>
      <c r="C5" s="3108"/>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8" t="s">
        <v>1914</v>
      </c>
      <c r="C6" s="3108"/>
      <c r="D6" s="48">
        <f>ROUND($D$3*E6/$E$3,2)</f>
        <v>373.16</v>
      </c>
      <c r="E6" s="49">
        <f>E3-E5</f>
        <v>7700.0099999999984</v>
      </c>
      <c r="F6" s="1391"/>
      <c r="G6" s="2234" t="s">
        <v>1915</v>
      </c>
      <c r="H6" s="1398" t="s">
        <v>1916</v>
      </c>
      <c r="I6" s="939">
        <f>ROUND(F31/D31,2)</f>
        <v>20.63</v>
      </c>
      <c r="J6" s="1391"/>
      <c r="K6" s="1391"/>
      <c r="L6" s="1391"/>
      <c r="M6" s="1391"/>
      <c r="N6" s="1391"/>
      <c r="O6" s="1391"/>
      <c r="P6" s="1391"/>
    </row>
    <row r="7" spans="1:16" ht="15">
      <c r="A7" s="3100"/>
      <c r="B7" s="3101"/>
      <c r="C7" s="3102"/>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373.16</v>
      </c>
      <c r="E8" s="51">
        <f>SUMIF('数据-基础表'!BB10:BK10,"地上",'数据-基础表'!BB5:BK5)</f>
        <v>7700.0099999999984</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373.16</v>
      </c>
      <c r="E16" s="53">
        <f>SUM(E8:E15)</f>
        <v>7700.0099999999984</v>
      </c>
      <c r="F16" s="1391"/>
      <c r="G16" s="2236"/>
      <c r="H16" s="2239" t="s">
        <v>1938</v>
      </c>
      <c r="I16" s="2240"/>
      <c r="J16" s="1391"/>
      <c r="K16" s="3097" t="s">
        <v>1938</v>
      </c>
      <c r="L16" s="3098"/>
      <c r="M16" s="3098"/>
      <c r="N16" s="3098"/>
      <c r="O16" s="3098"/>
      <c r="P16" s="3099"/>
    </row>
    <row r="17" spans="1:19" ht="15">
      <c r="A17" s="2241" t="s">
        <v>1939</v>
      </c>
      <c r="B17" s="2242" t="s">
        <v>1940</v>
      </c>
      <c r="C17" s="2243" t="s">
        <v>1941</v>
      </c>
      <c r="D17" s="2244" t="s">
        <v>1929</v>
      </c>
      <c r="E17" s="2245" t="s">
        <v>1930</v>
      </c>
      <c r="F17" s="2246"/>
      <c r="G17" s="2247"/>
      <c r="H17" s="2248" t="s">
        <v>1942</v>
      </c>
      <c r="I17" s="2249" t="s">
        <v>1927</v>
      </c>
      <c r="J17" s="1391"/>
      <c r="K17" s="3094" t="s">
        <v>1943</v>
      </c>
      <c r="L17" s="3095"/>
      <c r="M17" s="3096"/>
      <c r="N17" s="3094" t="s">
        <v>1944</v>
      </c>
      <c r="O17" s="3095"/>
      <c r="P17" s="3096"/>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tr">
        <f>Sheet1!B94</f>
        <v>3-1601</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c r="A20" s="2262"/>
      <c r="B20" s="50" t="s">
        <v>1956</v>
      </c>
      <c r="C20" s="2259"/>
      <c r="D20" s="48">
        <f t="shared" ref="D20:D26" si="6">ROUND($D$3*E20/$E$3,2)</f>
        <v>340.02</v>
      </c>
      <c r="E20" s="56">
        <f t="shared" si="1"/>
        <v>7016.2499999999982</v>
      </c>
      <c r="F20" s="57">
        <f>'数据-基础表'!I14</f>
        <v>7016.2499999999982</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340.02</v>
      </c>
      <c r="S20" s="1247">
        <f t="shared" si="5"/>
        <v>7016.2499999999982</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373.15999999999997</v>
      </c>
      <c r="E27" s="1393">
        <f>IF(SUM(E19:E26)='数据-基础表'!BA5,SUM(E19:E26),IF(F27="地上面积有误","面积有误","地下面积有误"))</f>
        <v>7700.0099999999984</v>
      </c>
      <c r="F27" s="1392">
        <f>IF(SUM(F19:F26)=E8,SUM(F19:F26),"地上面积有误")</f>
        <v>7700.0099999999984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373.15999999999997</v>
      </c>
      <c r="S27" s="1246">
        <f>IF(SUM(S19:S26)=$E$3,SUM(S19:S26),SUM(S19:S26)&amp;"误差"&amp;ROUND(SUM(S19:S26)-E3,2))</f>
        <v>7700.0099999999984</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373.15999999999997</v>
      </c>
      <c r="E31" s="729">
        <f>E27+E30</f>
        <v>7700.0099999999984</v>
      </c>
      <c r="F31" s="730">
        <f>F27+F30</f>
        <v>7700.0099999999984</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43973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3-1601</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29.65</v>
      </c>
      <c r="G6" s="73">
        <f>IF(ISERROR(ROUND(POWER(1+H6,D6-F6)*(POWER(1+H6,F6)-1)/(POWER(1+H6,D6)-1),3)),0,ROUND(POWER(1+H6,D6-F6)*(POWER(1+H6,F6)-1)/(POWER(1+H6,D6)-1),3))</f>
        <v>0.82</v>
      </c>
      <c r="H6" s="802">
        <v>4.4999999999999998E-2</v>
      </c>
      <c r="I6" s="802">
        <v>0.05</v>
      </c>
      <c r="J6" s="74">
        <v>0.08</v>
      </c>
      <c r="K6" s="1250">
        <f>SUMIF('数据-汇总表'!C$19:C$33,A6,'数据-汇总表'!E$19:E$33)</f>
        <v>683.76</v>
      </c>
      <c r="L6" s="803">
        <v>3500</v>
      </c>
      <c r="M6" s="75">
        <f t="shared" ref="M6:M14" si="0">ROUND(K6*L6/10000,0)</f>
        <v>239</v>
      </c>
      <c r="N6" s="801">
        <v>0.78</v>
      </c>
      <c r="O6" s="75">
        <f>IF($N$5="成新度","——",ROUND(M6*N6,0))</f>
        <v>186</v>
      </c>
      <c r="P6" s="76">
        <f>IF($N$5="成新度","——",M6-O6)</f>
        <v>53</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29.65</v>
      </c>
      <c r="AF6" s="1803"/>
      <c r="AG6" s="147">
        <f>IF(AF6="",0,AE6-AF6)</f>
        <v>0</v>
      </c>
      <c r="AH6" s="83"/>
      <c r="AI6" s="85">
        <v>365</v>
      </c>
      <c r="AJ6" s="86"/>
      <c r="AK6" s="87">
        <v>1.4999999999999999E-2</v>
      </c>
      <c r="AL6" s="88">
        <v>1.5E-3</v>
      </c>
      <c r="AM6" s="89">
        <v>0.02</v>
      </c>
      <c r="AN6" s="2308" t="s">
        <v>3058</v>
      </c>
      <c r="AO6" s="55">
        <f ca="1">SUMIF(INDIRECT("'"&amp;AN6&amp;"'"&amp;"!A:A"),"总价",INDIRECT("'"&amp;AN6&amp;"'"&amp;"!B:B"))</f>
        <v>4302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0.82</v>
      </c>
      <c r="H16" s="99">
        <f>ROUND(SUMPRODUCT(H6:H13,K6:K13)/SUMPRODUCT((H6:H13&gt;0)*(K6:K13)),3)</f>
        <v>4.4999999999999998E-2</v>
      </c>
      <c r="I16" s="100"/>
      <c r="J16" s="100"/>
      <c r="K16" s="101">
        <f>SUM(K6:K15)</f>
        <v>683.76</v>
      </c>
      <c r="L16" s="102">
        <f>ROUND(M16*10000/SUM(K6:K14),0)</f>
        <v>3495</v>
      </c>
      <c r="M16" s="102">
        <f>SUM(M6:M14)</f>
        <v>239</v>
      </c>
      <c r="N16" s="103">
        <f>ROUND(SUMPRODUCT(M6:M14,N6:N14)/M16,3)</f>
        <v>0.78</v>
      </c>
      <c r="O16" s="102">
        <f>SUM(O6:O14)</f>
        <v>186</v>
      </c>
      <c r="P16" s="102">
        <f>SUM(P6:P14)</f>
        <v>53</v>
      </c>
      <c r="Q16" s="104">
        <f>ROUND(SUMPRODUCT(Q6:Q13,K6:K13)/SUMPRODUCT((Q6:Q13&gt;0)*(K6:K13)),2)</f>
        <v>0.2</v>
      </c>
      <c r="R16" s="1254">
        <f ca="1">SUM(R6:R13)</f>
        <v>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3162</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3163</v>
      </c>
      <c r="N20" s="1580">
        <v>0.88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f>(N19+N20)/2</f>
        <v>0.77500000000000002</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9" t="s">
        <v>2080</v>
      </c>
      <c r="B1" s="3110"/>
      <c r="C1" s="3110"/>
      <c r="D1" s="3110"/>
      <c r="E1" s="3110"/>
      <c r="F1" s="3110"/>
      <c r="G1" s="311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zoomScale="90" zoomScaleNormal="90" workbookViewId="0">
      <selection activeCell="D25" sqref="D2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7700.0099999999984</v>
      </c>
      <c r="C1" s="1741"/>
      <c r="D1" s="1741"/>
      <c r="E1" s="1741"/>
      <c r="F1" s="1741"/>
      <c r="G1" s="1739"/>
    </row>
    <row r="2" spans="1:10" ht="16.5">
      <c r="A2" s="1742" t="s">
        <v>1348</v>
      </c>
      <c r="B2" s="1742">
        <f>SUM(C14:C23)</f>
        <v>373.16</v>
      </c>
      <c r="C2" s="1741"/>
      <c r="D2" s="1741"/>
      <c r="E2" s="1741"/>
      <c r="F2" s="1741"/>
      <c r="G2" s="1739"/>
    </row>
    <row r="3" spans="1:10" ht="16.5">
      <c r="A3" s="1742" t="s">
        <v>1357</v>
      </c>
      <c r="B3" s="1743">
        <f>项目基本情况!D3</f>
        <v>43973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38829</v>
      </c>
      <c r="C5" s="1742">
        <f ca="1">ROUND(B5*10000/$B$1,0)</f>
        <v>50427</v>
      </c>
      <c r="D5" s="1742">
        <f ca="1">ROUND(B5*10000/$B$2,0)</f>
        <v>1040546</v>
      </c>
      <c r="E5" s="1741"/>
      <c r="F5" s="1739"/>
      <c r="G5" s="1739"/>
    </row>
    <row r="6" spans="1:10" ht="16.5">
      <c r="A6" s="1742" t="s">
        <v>1351</v>
      </c>
      <c r="B6" s="1742">
        <f ca="1">SUM(G14:G23)</f>
        <v>13829</v>
      </c>
      <c r="C6" s="1742">
        <f ca="1">ROUND(B6*10000/$B$1,0)</f>
        <v>17960</v>
      </c>
      <c r="D6" s="1742">
        <f ca="1">ROUND(B6*10000/$B$2,0)</f>
        <v>370592</v>
      </c>
      <c r="E6" s="1741"/>
      <c r="F6" s="1739"/>
      <c r="G6" s="1739"/>
    </row>
    <row r="7" spans="1:10" ht="16.5">
      <c r="A7" s="1742" t="s">
        <v>1359</v>
      </c>
      <c r="B7" s="1742">
        <f ca="1">SUM(H14:H23)</f>
        <v>38829</v>
      </c>
      <c r="C7" s="1742">
        <f ca="1">ROUND(B7*10000/$B$1,0)</f>
        <v>50427</v>
      </c>
      <c r="D7" s="1742">
        <f ca="1">ROUND(B7*10000/$B$2,0)</f>
        <v>1040546</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7700.0099999999984</v>
      </c>
      <c r="C14" s="1740">
        <f>结果表!C118</f>
        <v>373.16</v>
      </c>
      <c r="D14" s="1740">
        <f ca="1">结果表!H118</f>
        <v>38829</v>
      </c>
      <c r="E14" s="1740">
        <f ca="1">ROUND(D14*10000/B14,0)</f>
        <v>50427</v>
      </c>
      <c r="F14" s="1740">
        <f ca="1">ROUND(D14*10000/C14,0)</f>
        <v>1040546</v>
      </c>
      <c r="G14" s="1740">
        <f ca="1">结果表!D122</f>
        <v>13829</v>
      </c>
      <c r="H14" s="1740">
        <f ca="1">结果表!D124</f>
        <v>38829</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北京市出让国有建设用地使用权及在建建筑物房地产抵押价值预评估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80" zoomScaleNormal="100" zoomScaleSheetLayoutView="80" zoomScalePageLayoutView="80" workbookViewId="0">
      <selection activeCell="I36" sqref="I3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8" t="str">
        <f>项目基本情况!S2</f>
        <v>北京市出让国有建设用地使用权及在建建筑物房地产</v>
      </c>
      <c r="B2" s="3179"/>
      <c r="C2" s="3179"/>
      <c r="D2" s="3179"/>
      <c r="E2" s="3179"/>
      <c r="F2" s="3179"/>
      <c r="G2" s="3179"/>
      <c r="H2" s="3179"/>
      <c r="I2" s="3180"/>
    </row>
    <row r="3" spans="1:12" ht="12.75">
      <c r="A3" s="3181" t="s">
        <v>2120</v>
      </c>
      <c r="B3" s="3182"/>
      <c r="C3" s="3182"/>
      <c r="D3" s="3182"/>
      <c r="E3" s="3182"/>
      <c r="F3" s="3182"/>
      <c r="G3" s="3182"/>
      <c r="H3" s="3182"/>
      <c r="I3" s="3182"/>
    </row>
    <row r="4" spans="1:12" ht="14.25">
      <c r="A4" s="2424" t="s">
        <v>2121</v>
      </c>
      <c r="B4" s="2425" t="s">
        <v>2122</v>
      </c>
      <c r="C4" s="2426" t="s">
        <v>3181</v>
      </c>
      <c r="D4" s="2426" t="s">
        <v>3181</v>
      </c>
      <c r="E4" s="3163" t="s">
        <v>2123</v>
      </c>
      <c r="F4" s="3175"/>
      <c r="G4" s="3175"/>
      <c r="H4" s="3175"/>
      <c r="I4" s="3164"/>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4" t="s">
        <v>2124</v>
      </c>
      <c r="B5" s="3063">
        <v>25</v>
      </c>
      <c r="C5" s="3183"/>
      <c r="D5" s="3171"/>
      <c r="E5" s="140" t="s">
        <v>2125</v>
      </c>
      <c r="F5" s="2428"/>
      <c r="G5" s="2428"/>
      <c r="H5" s="2428"/>
      <c r="I5" s="1830"/>
    </row>
    <row r="6" spans="1:12" ht="12.75">
      <c r="A6" s="3154"/>
      <c r="B6" s="3063"/>
      <c r="C6" s="3185"/>
      <c r="D6" s="3171"/>
      <c r="E6" s="140" t="s">
        <v>2126</v>
      </c>
      <c r="F6" s="2428"/>
      <c r="G6" s="2428"/>
      <c r="H6" s="2428"/>
      <c r="I6" s="1830"/>
    </row>
    <row r="7" spans="1:12" ht="12.75">
      <c r="A7" s="3154"/>
      <c r="B7" s="3063"/>
      <c r="C7" s="3184"/>
      <c r="D7" s="3171"/>
      <c r="E7" s="140" t="s">
        <v>2127</v>
      </c>
      <c r="F7" s="2428"/>
      <c r="G7" s="2428"/>
      <c r="H7" s="2428"/>
      <c r="I7" s="1830"/>
    </row>
    <row r="8" spans="1:12" ht="12.75">
      <c r="A8" s="3154" t="s">
        <v>2128</v>
      </c>
      <c r="B8" s="3063">
        <v>15</v>
      </c>
      <c r="C8" s="3183"/>
      <c r="D8" s="3171"/>
      <c r="E8" s="140" t="s">
        <v>2129</v>
      </c>
      <c r="F8" s="2428"/>
      <c r="G8" s="2428"/>
      <c r="H8" s="2428"/>
      <c r="I8" s="1830"/>
    </row>
    <row r="9" spans="1:12" ht="12.75">
      <c r="A9" s="3154"/>
      <c r="B9" s="3063"/>
      <c r="C9" s="3184"/>
      <c r="D9" s="3171"/>
      <c r="E9" s="140" t="s">
        <v>2130</v>
      </c>
      <c r="F9" s="2428"/>
      <c r="G9" s="2428"/>
      <c r="H9" s="2428"/>
      <c r="I9" s="1830"/>
    </row>
    <row r="10" spans="1:12" ht="12.75">
      <c r="A10" s="3154" t="s">
        <v>2131</v>
      </c>
      <c r="B10" s="3063">
        <v>15</v>
      </c>
      <c r="C10" s="3183"/>
      <c r="D10" s="3171"/>
      <c r="E10" s="140" t="s">
        <v>2132</v>
      </c>
      <c r="F10" s="2428"/>
      <c r="G10" s="2428"/>
      <c r="H10" s="2428"/>
      <c r="I10" s="1830"/>
    </row>
    <row r="11" spans="1:12" ht="12.75">
      <c r="A11" s="3154"/>
      <c r="B11" s="3063"/>
      <c r="C11" s="3184"/>
      <c r="D11" s="3171"/>
      <c r="E11" s="140" t="s">
        <v>2133</v>
      </c>
      <c r="F11" s="2428"/>
      <c r="G11" s="2428"/>
      <c r="H11" s="2428"/>
      <c r="I11" s="1830"/>
    </row>
    <row r="12" spans="1:12" ht="12.75">
      <c r="A12" s="3154" t="s">
        <v>2134</v>
      </c>
      <c r="B12" s="3063">
        <v>15</v>
      </c>
      <c r="C12" s="3183"/>
      <c r="D12" s="3171"/>
      <c r="E12" s="140" t="s">
        <v>2135</v>
      </c>
      <c r="F12" s="2428"/>
      <c r="G12" s="2428"/>
      <c r="H12" s="2428"/>
      <c r="I12" s="1830"/>
    </row>
    <row r="13" spans="1:12" ht="12.75">
      <c r="A13" s="3154"/>
      <c r="B13" s="3063"/>
      <c r="C13" s="3184"/>
      <c r="D13" s="3171"/>
      <c r="E13" s="140" t="s">
        <v>2136</v>
      </c>
      <c r="F13" s="2428"/>
      <c r="G13" s="2428"/>
      <c r="H13" s="2428"/>
      <c r="I13" s="1830"/>
    </row>
    <row r="14" spans="1:12" ht="12.75">
      <c r="A14" s="3154" t="s">
        <v>2137</v>
      </c>
      <c r="B14" s="3063">
        <v>30</v>
      </c>
      <c r="C14" s="3183">
        <v>1</v>
      </c>
      <c r="D14" s="3171">
        <v>1</v>
      </c>
      <c r="E14" s="140" t="s">
        <v>2138</v>
      </c>
      <c r="F14" s="2428"/>
      <c r="G14" s="2428"/>
      <c r="H14" s="2428"/>
      <c r="I14" s="1830"/>
    </row>
    <row r="15" spans="1:12" ht="12.75">
      <c r="A15" s="3154"/>
      <c r="B15" s="3063"/>
      <c r="C15" s="3185"/>
      <c r="D15" s="3171"/>
      <c r="E15" s="140" t="s">
        <v>2139</v>
      </c>
      <c r="F15" s="2428"/>
      <c r="G15" s="2428"/>
      <c r="H15" s="2428"/>
      <c r="I15" s="1830"/>
    </row>
    <row r="16" spans="1:12" ht="12.75">
      <c r="A16" s="3154"/>
      <c r="B16" s="3063"/>
      <c r="C16" s="3184"/>
      <c r="D16" s="3171"/>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7700.0099999999984</v>
      </c>
      <c r="M18" s="2427">
        <f>IF(C1="",'数据-汇总表'!E3,SUMIF(项目类型,C1,'数据-汇总表'!E17:E26))</f>
        <v>7700.0099999999984</v>
      </c>
    </row>
    <row r="19" spans="1:35" ht="15">
      <c r="A19" s="2433" t="s">
        <v>2146</v>
      </c>
      <c r="B19" s="2434" t="s">
        <v>2147</v>
      </c>
      <c r="C19" s="143">
        <f ca="1">SUMIF(INDIRECT("'"&amp;C4&amp;"'"&amp;"!A:A"),结果表!B19,INDIRECT("'"&amp;C4&amp;"'"&amp;"!B:B"))</f>
        <v>38829</v>
      </c>
      <c r="D19" s="144">
        <f ca="1">SUMIF(INDIRECT("'"&amp;D4&amp;"'"&amp;"!A:A"),结果表!B19,INDIRECT("'"&amp;D4&amp;"'"&amp;"!B:B"))</f>
        <v>38829</v>
      </c>
      <c r="E19" s="2433" t="s">
        <v>2148</v>
      </c>
      <c r="F19" s="2434" t="s">
        <v>2147</v>
      </c>
      <c r="G19" s="145">
        <f ca="1">ROUND(C19*$C$18+D19*$D$18,0)</f>
        <v>38829</v>
      </c>
      <c r="H19" s="2435" t="s">
        <v>2149</v>
      </c>
      <c r="I19" s="138"/>
      <c r="K19" s="2427" t="s">
        <v>2150</v>
      </c>
      <c r="L19" s="2427">
        <f>IF(C1="",'数据-汇总表'!D3,SUMIF(项目类型,C1,'数据-汇总表'!D17:D26)+SUMIF(项目类型,C1,'数据-汇总表'!H17:H27))</f>
        <v>373.16</v>
      </c>
      <c r="M19" s="2427">
        <f>IF(C1="",'数据-汇总表'!D3,SUMIF(项目类型,C1,'数据-汇总表'!D17:D26))</f>
        <v>373.16</v>
      </c>
    </row>
    <row r="20" spans="1:35" ht="15">
      <c r="A20" s="2436"/>
      <c r="B20" s="1246" t="s">
        <v>2151</v>
      </c>
      <c r="C20" s="146">
        <f ca="1">SUMIF(INDIRECT("'"&amp;C4&amp;"'"&amp;"!A:A"),结果表!B20,INDIRECT("'"&amp;C4&amp;"'"&amp;"!B:B"))</f>
        <v>50427</v>
      </c>
      <c r="D20" s="147">
        <f ca="1">SUMIF(INDIRECT("'"&amp;D4&amp;"'"&amp;"!A:A"),结果表!B20,INDIRECT("'"&amp;D4&amp;"'"&amp;"!B:B"))</f>
        <v>50427</v>
      </c>
      <c r="E20" s="2436"/>
      <c r="F20" s="1246" t="s">
        <v>2151</v>
      </c>
      <c r="G20" s="148">
        <f ca="1">ROUND(C20*$C$18+D20*$D$18,0)</f>
        <v>50427</v>
      </c>
      <c r="H20" s="980" t="s">
        <v>2152</v>
      </c>
      <c r="I20" s="138"/>
    </row>
    <row r="21" spans="1:35" ht="15" customHeight="1" thickBot="1">
      <c r="A21" s="1000"/>
      <c r="B21" s="2437" t="s">
        <v>2153</v>
      </c>
      <c r="C21" s="789">
        <f ca="1">ROUND(C19*10000/L19,0)</f>
        <v>1040546</v>
      </c>
      <c r="D21" s="790">
        <f ca="1">ROUND(D19*10000/L19,0)</f>
        <v>1040546</v>
      </c>
      <c r="E21" s="1000"/>
      <c r="F21" s="2437" t="s">
        <v>2153</v>
      </c>
      <c r="G21" s="149">
        <f ca="1">ROUND(G19*10000/L19,0)</f>
        <v>1040546</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2" t="s">
        <v>2155</v>
      </c>
      <c r="B24" s="2434" t="s">
        <v>2147</v>
      </c>
      <c r="C24" s="145">
        <f>IF(B30=0,0,D30)</f>
        <v>0</v>
      </c>
      <c r="D24" s="2441"/>
      <c r="E24" s="138"/>
      <c r="F24" s="138"/>
      <c r="G24" s="138"/>
      <c r="H24" s="138"/>
      <c r="I24" s="138"/>
    </row>
    <row r="25" spans="1:35" ht="14.25">
      <c r="A25" s="3193"/>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50427</v>
      </c>
      <c r="D32" s="2448" t="s">
        <v>3258</v>
      </c>
      <c r="E32" s="138"/>
      <c r="F32" s="138"/>
      <c r="G32" s="138"/>
      <c r="H32" s="138"/>
      <c r="I32" s="138"/>
    </row>
    <row r="33" spans="1:15" ht="15">
      <c r="A33" s="957" t="s">
        <v>2162</v>
      </c>
      <c r="B33" s="2449"/>
      <c r="C33" s="2450" t="s">
        <v>3289</v>
      </c>
      <c r="D33" s="2451" t="s">
        <v>3058</v>
      </c>
      <c r="E33" s="2452" t="s">
        <v>2163</v>
      </c>
      <c r="F33" s="2453" t="str">
        <f>IF(D32="楼面单价","取值（单价）","取值（总价）")</f>
        <v>取值（单价）</v>
      </c>
      <c r="G33" s="138"/>
      <c r="H33" s="138"/>
      <c r="I33" s="138"/>
    </row>
    <row r="34" spans="1:15" ht="15">
      <c r="A34" s="2454"/>
      <c r="B34" s="2455" t="s">
        <v>2164</v>
      </c>
      <c r="C34" s="157">
        <f ca="1">IF(C33="自定义",F34,C32-C35)</f>
        <v>44082</v>
      </c>
      <c r="D34" s="1055">
        <f ca="1">IF(C33="自定义",ROUND(C34/C32,3),IF(C33="收益比率",SUMIF(INDIRECT("'"&amp;D33&amp;"'"&amp;"!b:b"),"土地收益比率",INDIRECT("'"&amp;D33&amp;"'"&amp;"!c:c")),SUMIF(INDIRECT("'"&amp;D33&amp;"'"&amp;"!b:b"),"土地成本比率",INDIRECT("'"&amp;D33&amp;"'"&amp;"!c:c"))))</f>
        <v>0.874</v>
      </c>
      <c r="E34" s="2456" t="s">
        <v>2165</v>
      </c>
      <c r="F34" s="1735">
        <f ca="1">G20-F35</f>
        <v>44082</v>
      </c>
      <c r="G34" s="138"/>
      <c r="H34" s="138"/>
      <c r="I34" s="138"/>
    </row>
    <row r="35" spans="1:15" ht="15.75" thickBot="1">
      <c r="A35" s="2457"/>
      <c r="B35" s="2458" t="s">
        <v>2166</v>
      </c>
      <c r="C35" s="1440">
        <f ca="1">IF(C33="自定义",F35,ROUND(C32*D35,0))</f>
        <v>6345</v>
      </c>
      <c r="D35" s="1441">
        <f ca="1">IF(C33="自定义",ROUND(C35/C32,3),IF(C33="收益比率",SUMIF(INDIRECT("'"&amp;D33&amp;"'"&amp;"!b:b"),"建筑物收益比率",INDIRECT("'"&amp;D33&amp;"'"&amp;"!c:c")),SUMIF(INDIRECT("'"&amp;D33&amp;"'"&amp;"!b:b"),"建筑物成本比率",INDIRECT("'"&amp;D33&amp;"'"&amp;"!c:c"))))</f>
        <v>0.126</v>
      </c>
      <c r="E35" s="2459" t="s">
        <v>2167</v>
      </c>
      <c r="F35" s="163">
        <f ca="1">'结果表-基准'!G118</f>
        <v>6345</v>
      </c>
      <c r="G35" s="138"/>
      <c r="H35" s="138"/>
      <c r="I35" s="138"/>
    </row>
    <row r="36" spans="1:15" ht="15.75" thickBot="1">
      <c r="A36" s="3172" t="s">
        <v>2168</v>
      </c>
      <c r="B36" s="2460" t="s">
        <v>2169</v>
      </c>
      <c r="C36" s="154">
        <v>25000</v>
      </c>
      <c r="D36" s="2461" t="s">
        <v>3287</v>
      </c>
      <c r="E36" s="2462"/>
      <c r="F36" s="2463"/>
      <c r="G36" s="138"/>
      <c r="H36" s="138"/>
      <c r="I36" s="138"/>
    </row>
    <row r="37" spans="1:15" ht="15.75" thickBot="1">
      <c r="A37" s="3173"/>
      <c r="B37" s="2266" t="s">
        <v>2170</v>
      </c>
      <c r="C37" s="156"/>
      <c r="D37" s="1391"/>
      <c r="E37" s="1391"/>
      <c r="F37" s="2463"/>
      <c r="G37" s="138"/>
      <c r="H37" s="138"/>
      <c r="I37" s="138"/>
    </row>
    <row r="38" spans="1:15" ht="15.75" thickBot="1">
      <c r="A38" s="3174"/>
      <c r="B38" s="2464" t="s">
        <v>2171</v>
      </c>
      <c r="C38" s="727"/>
      <c r="D38" s="2465" t="s">
        <v>2172</v>
      </c>
      <c r="E38" s="1391"/>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89" t="s">
        <v>2182</v>
      </c>
      <c r="B45" s="3190"/>
      <c r="C45" s="3191"/>
      <c r="D45" s="164">
        <f ca="1">ROUND(H101*F45,0)</f>
        <v>31063</v>
      </c>
      <c r="E45" s="165" t="s">
        <v>2183</v>
      </c>
      <c r="F45" s="166">
        <v>0.8</v>
      </c>
      <c r="G45" s="167" t="s">
        <v>2184</v>
      </c>
      <c r="H45" s="138"/>
      <c r="I45" s="138"/>
      <c r="J45" s="3113" t="s">
        <v>2185</v>
      </c>
      <c r="K45" s="3113"/>
      <c r="L45" s="3113"/>
      <c r="M45" s="3113"/>
      <c r="N45" s="3113"/>
      <c r="O45" s="3113"/>
    </row>
    <row r="46" spans="1:15" ht="14.25" customHeight="1">
      <c r="A46" s="3186" t="s">
        <v>2186</v>
      </c>
      <c r="B46" s="3187"/>
      <c r="C46" s="3187"/>
      <c r="D46" s="3187"/>
      <c r="E46" s="3187"/>
      <c r="F46" s="3187"/>
      <c r="G46" s="3188"/>
      <c r="H46" s="2479"/>
      <c r="I46" s="168"/>
      <c r="J46" s="1808">
        <v>1</v>
      </c>
      <c r="K46" s="3113" t="s">
        <v>2187</v>
      </c>
      <c r="L46" s="3113"/>
      <c r="M46" s="3114"/>
      <c r="N46" s="3114"/>
      <c r="O46" s="3114"/>
    </row>
    <row r="47" spans="1:15" ht="12" customHeight="1">
      <c r="A47" s="169" t="s">
        <v>2188</v>
      </c>
      <c r="B47" s="170"/>
      <c r="C47" s="171"/>
      <c r="D47" s="172" t="s">
        <v>2189</v>
      </c>
      <c r="E47" s="24" t="s">
        <v>2190</v>
      </c>
      <c r="F47" s="173" t="s">
        <v>2191</v>
      </c>
      <c r="G47" s="174" t="s">
        <v>2192</v>
      </c>
      <c r="H47" s="2479"/>
      <c r="I47" s="168"/>
      <c r="J47" s="1808">
        <v>2</v>
      </c>
      <c r="K47" s="3113" t="s">
        <v>2193</v>
      </c>
      <c r="L47" s="3113"/>
      <c r="M47" s="3115">
        <f>'数据-取费表'!B2</f>
        <v>43973</v>
      </c>
      <c r="N47" s="3115"/>
      <c r="O47" s="3115"/>
    </row>
    <row r="48" spans="1:15" ht="25.5">
      <c r="A48" s="3176" t="s">
        <v>2194</v>
      </c>
      <c r="B48" s="3177"/>
      <c r="C48" s="3177"/>
      <c r="D48" s="140">
        <f ca="1">IF(H48="情况1",0,IF(H48="情况2",D52,IF(H48="情况3",D53,IF(H48="情况4",D54))))</f>
        <v>1657</v>
      </c>
      <c r="E48" s="1797" t="str">
        <f>IF(H48="情况4","(销售额-原购置价)×税（费）率","销售额×税（费）率")</f>
        <v>(销售额-原购置价)×税（费）率</v>
      </c>
      <c r="F48" s="175">
        <f>IF(H48="情况1","免征",'数据-取费表'!B41)</f>
        <v>5.6000000000000001E-2</v>
      </c>
      <c r="G48" s="2480" t="s">
        <v>2195</v>
      </c>
      <c r="H48" s="2481" t="s">
        <v>3246</v>
      </c>
      <c r="I48" s="2479"/>
      <c r="J48" s="1808">
        <v>3</v>
      </c>
      <c r="K48" s="3113" t="s">
        <v>2197</v>
      </c>
      <c r="L48" s="3113"/>
      <c r="M48" s="3116">
        <f ca="1">H101</f>
        <v>38829</v>
      </c>
      <c r="N48" s="3116"/>
      <c r="O48" s="3116"/>
    </row>
    <row r="49" spans="1:35" ht="25.5" customHeight="1">
      <c r="A49" s="176" t="s">
        <v>2198</v>
      </c>
      <c r="B49" s="3157" t="s">
        <v>2199</v>
      </c>
      <c r="C49" s="3157"/>
      <c r="D49" s="177">
        <v>0</v>
      </c>
      <c r="E49" s="23" t="s">
        <v>2200</v>
      </c>
      <c r="F49" s="28" t="s">
        <v>34</v>
      </c>
      <c r="G49" s="3138"/>
      <c r="H49" s="138"/>
      <c r="I49" s="2482"/>
      <c r="J49" s="1808">
        <v>4</v>
      </c>
      <c r="K49" s="3113" t="str">
        <f>IF(项目基本情况!E8="房地产抵押价值","房地产抵押价值","抵押担保权已注销时的房地产抵押价值")</f>
        <v>抵押担保权已注销时的房地产抵押价值</v>
      </c>
      <c r="L49" s="3113"/>
      <c r="M49" s="3116">
        <f ca="1">IF(项目基本情况!E8="房地产抵押价值",H107,H109)</f>
        <v>38829</v>
      </c>
      <c r="N49" s="3116"/>
      <c r="O49" s="3116"/>
    </row>
    <row r="50" spans="1:35" ht="25.5" customHeight="1">
      <c r="A50" s="178"/>
      <c r="B50" s="3157" t="s">
        <v>2201</v>
      </c>
      <c r="C50" s="3157"/>
      <c r="D50" s="179"/>
      <c r="E50" s="31"/>
      <c r="F50" s="180"/>
      <c r="G50" s="3139"/>
      <c r="H50" s="138"/>
      <c r="I50" s="2482"/>
      <c r="J50" s="3113" t="s">
        <v>2202</v>
      </c>
      <c r="K50" s="3113"/>
      <c r="L50" s="3113"/>
      <c r="M50" s="3113"/>
      <c r="N50" s="3113"/>
      <c r="O50" s="3113"/>
    </row>
    <row r="51" spans="1:35" ht="12" customHeight="1">
      <c r="A51" s="181"/>
      <c r="B51" s="3157" t="s">
        <v>2203</v>
      </c>
      <c r="C51" s="3157"/>
      <c r="D51" s="182"/>
      <c r="E51" s="30"/>
      <c r="F51" s="180"/>
      <c r="G51" s="3140"/>
      <c r="H51" s="138"/>
      <c r="I51" s="2482"/>
      <c r="J51" s="2483" t="s">
        <v>2204</v>
      </c>
      <c r="K51" s="3113" t="s">
        <v>2205</v>
      </c>
      <c r="L51" s="3113"/>
      <c r="M51" s="2483" t="s">
        <v>2206</v>
      </c>
      <c r="N51" s="2483" t="s">
        <v>2207</v>
      </c>
      <c r="O51" s="2483" t="s">
        <v>2208</v>
      </c>
    </row>
    <row r="52" spans="1:35" ht="24" customHeight="1">
      <c r="A52" s="183" t="s">
        <v>2209</v>
      </c>
      <c r="B52" s="3157" t="s">
        <v>2210</v>
      </c>
      <c r="C52" s="3157"/>
      <c r="D52" s="182">
        <f ca="1">ROUND(D45*'数据-取费表'!B41/(1+'数据-取费表'!C42),0)</f>
        <v>1657</v>
      </c>
      <c r="E52" s="11" t="s">
        <v>2211</v>
      </c>
      <c r="F52" s="184">
        <f>'数据-取费表'!B41</f>
        <v>5.6000000000000001E-2</v>
      </c>
      <c r="G52" s="2484"/>
      <c r="H52" s="138"/>
      <c r="I52" s="2482"/>
      <c r="J52" s="1808">
        <v>1</v>
      </c>
      <c r="K52" s="3132" t="s">
        <v>2212</v>
      </c>
      <c r="L52" s="3132"/>
      <c r="M52" s="1750">
        <f ca="1">D48</f>
        <v>1657</v>
      </c>
      <c r="N52" s="1808" t="str">
        <f>E48</f>
        <v>(销售额-原购置价)×税（费）率</v>
      </c>
      <c r="O52" s="1751">
        <f>F48</f>
        <v>5.6000000000000001E-2</v>
      </c>
    </row>
    <row r="53" spans="1:35" ht="12" customHeight="1">
      <c r="A53" s="183" t="s">
        <v>2213</v>
      </c>
      <c r="B53" s="3158" t="s">
        <v>2214</v>
      </c>
      <c r="C53" s="3159"/>
      <c r="D53" s="182">
        <f ca="1">ROUND(D45*'数据-取费表'!B41/(1+'数据-取费表'!C42),0)</f>
        <v>1657</v>
      </c>
      <c r="E53" s="11" t="s">
        <v>2211</v>
      </c>
      <c r="F53" s="184">
        <f>'数据-取费表'!B41</f>
        <v>5.6000000000000001E-2</v>
      </c>
      <c r="G53" s="2484"/>
      <c r="H53" s="138"/>
      <c r="I53" s="2482"/>
      <c r="J53" s="1808">
        <v>2</v>
      </c>
      <c r="K53" s="3132" t="s">
        <v>2215</v>
      </c>
      <c r="L53" s="3132"/>
      <c r="M53" s="1750">
        <f t="shared" ref="M53:O54" ca="1" si="0">D55</f>
        <v>16</v>
      </c>
      <c r="N53" s="1808" t="str">
        <f t="shared" si="0"/>
        <v>销售额×税（费）率</v>
      </c>
      <c r="O53" s="1751">
        <f t="shared" si="0"/>
        <v>5.0000000000000001E-4</v>
      </c>
    </row>
    <row r="54" spans="1:35" ht="12" customHeight="1">
      <c r="A54" s="183" t="s">
        <v>2216</v>
      </c>
      <c r="B54" s="3158" t="s">
        <v>2217</v>
      </c>
      <c r="C54" s="3159"/>
      <c r="D54" s="182">
        <f ca="1">C68</f>
        <v>1657</v>
      </c>
      <c r="E54" s="30" t="s">
        <v>2218</v>
      </c>
      <c r="F54" s="184">
        <f>'数据-取费表'!B41</f>
        <v>5.6000000000000001E-2</v>
      </c>
      <c r="G54" s="2484"/>
      <c r="H54" s="2485"/>
      <c r="I54" s="2482"/>
      <c r="J54" s="1808">
        <v>3</v>
      </c>
      <c r="K54" s="3132" t="s">
        <v>2219</v>
      </c>
      <c r="L54" s="3132"/>
      <c r="M54" s="1750">
        <f t="shared" ca="1" si="0"/>
        <v>2169</v>
      </c>
      <c r="N54" s="1808" t="str">
        <f t="shared" si="0"/>
        <v>增值额×税（费）率</v>
      </c>
      <c r="O54" s="1752" t="str">
        <f t="shared" si="0"/>
        <v>——</v>
      </c>
    </row>
    <row r="55" spans="1:35" ht="24" customHeight="1">
      <c r="A55" s="3195" t="s">
        <v>2220</v>
      </c>
      <c r="B55" s="3177"/>
      <c r="C55" s="3177"/>
      <c r="D55" s="185">
        <f ca="1">IF(H55="个人住宅",0,ROUND(D45*I55,0))</f>
        <v>16</v>
      </c>
      <c r="E55" s="11" t="s">
        <v>2221</v>
      </c>
      <c r="F55" s="184">
        <f>IF(H55="正常",I55,"免征")</f>
        <v>5.0000000000000001E-4</v>
      </c>
      <c r="G55" s="2484"/>
      <c r="H55" s="2481" t="s">
        <v>2222</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195" t="s">
        <v>2223</v>
      </c>
      <c r="B56" s="3177"/>
      <c r="C56" s="3177"/>
      <c r="D56" s="185">
        <f ca="1">IF(H56="个人住宅",D57,D58)</f>
        <v>2169</v>
      </c>
      <c r="E56" s="11" t="s">
        <v>2224</v>
      </c>
      <c r="F56" s="184" t="str">
        <f>IF(H56="正常",F58,"免征")</f>
        <v>——</v>
      </c>
      <c r="G56" s="2486" t="s">
        <v>2225</v>
      </c>
      <c r="H56" s="2487" t="s">
        <v>2222</v>
      </c>
      <c r="I56" s="2488"/>
      <c r="J56" s="1808"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c r="A57" s="183" t="s">
        <v>2198</v>
      </c>
      <c r="B57" s="3163" t="s">
        <v>2226</v>
      </c>
      <c r="C57" s="3164"/>
      <c r="D57" s="187">
        <v>0</v>
      </c>
      <c r="E57" s="23" t="s">
        <v>2200</v>
      </c>
      <c r="F57" s="155"/>
      <c r="G57" s="2484"/>
      <c r="H57" s="2488"/>
      <c r="I57" s="2488"/>
      <c r="J57" s="3132">
        <f>IF(AND(J55="",J56=""),4,IF(项目基本情况!K6="上海银行",结果表!J56+1,结果表!J55+1))</f>
        <v>4</v>
      </c>
      <c r="K57" s="3132" t="s">
        <v>2227</v>
      </c>
      <c r="L57" s="2489" t="s">
        <v>2228</v>
      </c>
      <c r="M57" s="1755"/>
      <c r="N57" s="1756">
        <f ca="1">SUMIF(M52:M56,"&lt;9e307")</f>
        <v>3842</v>
      </c>
      <c r="O57" s="2490"/>
      <c r="P57" s="1749">
        <f ca="1">N57/M49</f>
        <v>9.8946663576193056E-2</v>
      </c>
    </row>
    <row r="58" spans="1:35" ht="24.75">
      <c r="A58" s="183" t="s">
        <v>2209</v>
      </c>
      <c r="B58" s="3163" t="s">
        <v>2229</v>
      </c>
      <c r="C58" s="3175"/>
      <c r="D58" s="185">
        <f ca="1">IF(H58="转让取得",C81,C97)</f>
        <v>2169</v>
      </c>
      <c r="E58" s="11" t="s">
        <v>2224</v>
      </c>
      <c r="F58" s="24" t="s">
        <v>34</v>
      </c>
      <c r="G58" s="2484"/>
      <c r="H58" s="2487" t="s">
        <v>3247</v>
      </c>
      <c r="I58" s="2488"/>
      <c r="J58" s="3132"/>
      <c r="K58" s="3132"/>
      <c r="L58" s="2489" t="s">
        <v>2231</v>
      </c>
      <c r="M58" s="1757"/>
      <c r="N58" s="2491" t="str">
        <f ca="1">NUMBERSTRING(INT(N57*10000),2)&amp;"元整"</f>
        <v>叁仟捌佰肆拾贰万元整</v>
      </c>
      <c r="O58" s="2492"/>
    </row>
    <row r="59" spans="1:35" ht="24.75" thickBot="1">
      <c r="A59" s="3136" t="s">
        <v>2232</v>
      </c>
      <c r="B59" s="3137"/>
      <c r="C59" s="3137"/>
      <c r="D59" s="188" t="str">
        <f>IF(H59="非个人房产","——",IF(H59="个人住宅",0,ROUND(D45*I59,0)))</f>
        <v>——</v>
      </c>
      <c r="E59" s="189" t="str">
        <f>IF(H59="非个人房产","——","销售额×税（费）率")</f>
        <v>——</v>
      </c>
      <c r="F59" s="190" t="str">
        <f>IF(H59="非个人房产","——",IF(H59="个人住宅","免征",I59))</f>
        <v>——</v>
      </c>
      <c r="G59" s="2493" t="s">
        <v>2225</v>
      </c>
      <c r="H59" s="2487" t="s">
        <v>3248</v>
      </c>
      <c r="I59" s="191">
        <v>0.01</v>
      </c>
      <c r="J59" s="3134">
        <f>J57+1</f>
        <v>5</v>
      </c>
      <c r="K59" s="3132" t="s">
        <v>2234</v>
      </c>
      <c r="L59" s="1808" t="s">
        <v>2228</v>
      </c>
      <c r="M59" s="1758"/>
      <c r="N59" s="1759">
        <f ca="1">M49-N57</f>
        <v>34987</v>
      </c>
      <c r="O59" s="2494"/>
    </row>
    <row r="60" spans="1:35" ht="12" customHeight="1">
      <c r="A60" s="2495"/>
      <c r="B60" s="2417"/>
      <c r="C60" s="2417"/>
      <c r="D60" s="2417"/>
      <c r="E60" s="2165"/>
      <c r="F60" s="2488"/>
      <c r="G60" s="2488"/>
      <c r="H60" s="2496"/>
      <c r="I60" s="138"/>
      <c r="J60" s="3135"/>
      <c r="K60" s="3132"/>
      <c r="L60" s="2489" t="s">
        <v>2231</v>
      </c>
      <c r="M60" s="1757"/>
      <c r="N60" s="2491" t="str">
        <f ca="1">NUMBERSTRING(INT(N59*10000),2)&amp;"元整"</f>
        <v>叁亿肆仟玖佰捌拾柒万元整</v>
      </c>
      <c r="O60" s="2492"/>
    </row>
    <row r="61" spans="1:35" ht="13.5" thickBot="1">
      <c r="A61" s="3194" t="s">
        <v>2235</v>
      </c>
      <c r="B61" s="3194"/>
      <c r="C61" s="3194"/>
      <c r="D61" s="3194"/>
      <c r="E61" s="3194"/>
      <c r="F61" s="2488"/>
      <c r="G61" s="2488"/>
      <c r="H61" s="2496"/>
      <c r="I61" s="138"/>
      <c r="J61" s="1808">
        <f>J59+1</f>
        <v>6</v>
      </c>
      <c r="K61" s="3132" t="s">
        <v>2236</v>
      </c>
      <c r="L61" s="3132"/>
      <c r="M61" s="1760"/>
      <c r="N61" s="1761">
        <f ca="1">ROUND(N59*10000/'数据-汇总表'!E3,0)</f>
        <v>45438</v>
      </c>
      <c r="O61" s="2497"/>
    </row>
    <row r="62" spans="1:35" ht="12.75">
      <c r="A62" s="3152" t="s">
        <v>2237</v>
      </c>
      <c r="B62" s="3153"/>
      <c r="C62" s="1800"/>
      <c r="D62" s="1800" t="s">
        <v>2238</v>
      </c>
      <c r="E62" s="192" t="s">
        <v>2239</v>
      </c>
      <c r="F62" s="2488"/>
      <c r="G62" s="2488"/>
      <c r="H62" s="2496"/>
      <c r="I62" s="138"/>
    </row>
    <row r="63" spans="1:35" ht="12.75">
      <c r="A63" s="203" t="s">
        <v>775</v>
      </c>
      <c r="B63" s="193" t="s">
        <v>2240</v>
      </c>
      <c r="C63" s="194">
        <f ca="1">ROUND((C64+C65)/(1+'数据-取费表'!C42),0)</f>
        <v>29584</v>
      </c>
      <c r="D63" s="195"/>
      <c r="E63" s="196"/>
      <c r="F63" s="2488"/>
      <c r="G63" s="2488"/>
      <c r="H63" s="2496"/>
      <c r="I63" s="138"/>
      <c r="J63" s="3121" t="s">
        <v>2241</v>
      </c>
      <c r="K63" s="2498" t="s">
        <v>2242</v>
      </c>
      <c r="L63" s="1748">
        <f ca="1">IF(M49&gt;10000,M49*0.5%,IF(AND(M49&gt;1000,M49&lt;=10000),M49*1%,IF(AND(M49&gt;100,M49&lt;=1000),M49*3%,IF(AND(M49&gt;10,M49&lt;=100),M49*5%,M49*8%))))</f>
        <v>194.14500000000001</v>
      </c>
      <c r="M63" s="24">
        <f ca="1">ROUND(L63,1)</f>
        <v>194.1</v>
      </c>
      <c r="Z63" s="2422"/>
      <c r="AI63" s="2423"/>
    </row>
    <row r="64" spans="1:35" ht="14.25" customHeight="1">
      <c r="A64" s="197" t="s">
        <v>770</v>
      </c>
      <c r="B64" s="198" t="s">
        <v>2243</v>
      </c>
      <c r="C64" s="199">
        <f ca="1">D45</f>
        <v>31063</v>
      </c>
      <c r="D64" s="200" t="s">
        <v>32</v>
      </c>
      <c r="E64" s="201"/>
      <c r="F64" s="2488"/>
      <c r="G64" s="2488"/>
      <c r="H64" s="2496"/>
      <c r="I64" s="138"/>
      <c r="J64" s="3121"/>
      <c r="K64" s="2498" t="s">
        <v>2244</v>
      </c>
      <c r="L64" s="1748">
        <f ca="1">IF(M49&gt;2000,M49*0.5%,IF(AND(M49&gt;1000,M49&lt;=2000),M49*0.6%,IF(AND(M49&gt;500,M49&lt;=1000),M49*0.7%,IF(AND(M49&gt;200,M49&lt;=500),M49*0.8%,IF(AND(M49&gt;100,M49&lt;=200),M49*0.9%,IF(AND(M49&gt;50,M49&lt;=100),M49*1%,IF(AND(M49&gt;20,M49&lt;=50),M49*1.5%,IF(AND(M49&gt;10,M49&lt;=20),M49*2%,IF(AND(M49&gt;1,M49&lt;=10),M49*2.5%)))))))))</f>
        <v>194.14500000000001</v>
      </c>
      <c r="M64" s="24">
        <f t="shared" ref="M64:M65" ca="1" si="1">ROUND(L64,1)</f>
        <v>194.1</v>
      </c>
      <c r="N64" s="138" t="s">
        <v>2245</v>
      </c>
      <c r="Z64" s="2422"/>
      <c r="AI64" s="2423"/>
    </row>
    <row r="65" spans="1:35" ht="14.25" customHeight="1">
      <c r="A65" s="197" t="s">
        <v>771</v>
      </c>
      <c r="B65" s="198" t="s">
        <v>2246</v>
      </c>
      <c r="C65" s="202"/>
      <c r="D65" s="200"/>
      <c r="E65" s="201"/>
      <c r="F65" s="2488"/>
      <c r="G65" s="2488"/>
      <c r="H65" s="2496"/>
      <c r="I65" s="138"/>
      <c r="J65" s="3121"/>
      <c r="K65" s="2498" t="s">
        <v>2247</v>
      </c>
      <c r="L65" s="1748">
        <f ca="1">IF(M49&gt;1000,M49*0.1%,IF(AND(M49&gt;500,M49&lt;=1000),M49*0.5%,IF(AND(M49&gt;50,M49&lt;=500),M49*1%,IF(AND(M49&gt;1,M49&lt;=50),M49*1.5%))))</f>
        <v>38.829000000000001</v>
      </c>
      <c r="M65" s="24">
        <f t="shared" ca="1" si="1"/>
        <v>38.799999999999997</v>
      </c>
      <c r="N65" s="138" t="s">
        <v>2245</v>
      </c>
      <c r="Z65" s="2422"/>
      <c r="AI65" s="2423"/>
    </row>
    <row r="66" spans="1:35" ht="14.25" customHeight="1">
      <c r="A66" s="203" t="s">
        <v>772</v>
      </c>
      <c r="B66" s="204" t="s">
        <v>2248</v>
      </c>
      <c r="C66" s="205"/>
      <c r="D66" s="206" t="s">
        <v>32</v>
      </c>
      <c r="E66" s="1772" t="s">
        <v>1366</v>
      </c>
      <c r="F66" s="2488"/>
      <c r="G66" s="2488"/>
      <c r="H66" s="2496"/>
      <c r="I66" s="138"/>
      <c r="J66" s="3121"/>
      <c r="K66" s="2498" t="s">
        <v>2249</v>
      </c>
      <c r="L66" s="1748">
        <f ca="1">M49*0.5%</f>
        <v>194.14500000000001</v>
      </c>
      <c r="M66" s="24">
        <f ca="1">IF(L66&gt;0.5,0.5,ROUND(L66,0))</f>
        <v>0.5</v>
      </c>
      <c r="N66" s="138" t="s">
        <v>2250</v>
      </c>
      <c r="Z66" s="2422"/>
      <c r="AI66" s="2423"/>
    </row>
    <row r="67" spans="1:35" ht="14.25" customHeight="1">
      <c r="A67" s="203" t="s">
        <v>773</v>
      </c>
      <c r="B67" s="204" t="s">
        <v>2251</v>
      </c>
      <c r="C67" s="207">
        <f ca="1">C63-C66</f>
        <v>29584</v>
      </c>
      <c r="D67" s="200" t="s">
        <v>32</v>
      </c>
      <c r="E67" s="201"/>
      <c r="F67" s="2488"/>
      <c r="G67" s="2488"/>
      <c r="H67" s="2496"/>
      <c r="I67" s="138"/>
      <c r="J67" s="3121"/>
      <c r="K67" s="2498" t="s">
        <v>2252</v>
      </c>
      <c r="L67" s="1748">
        <f ca="1">IF(M49&gt;=10000,(8.25+(M49-10000)*0.01%),IF(AND(M49&gt;=8000,M49&lt;10000),(7.85+(M49-8000)*0.02%),IF(AND(M49&gt;=5000,M49&lt;8000),(6.65+(M49-5000)*0.04%),IF(AND(M49&gt;=2000,M49&lt;5000),(4.25+(PM49-2000)*0.08%),IF(AND(M49&gt;=1000,M49&lt;2000),(2.75+(M49-1000)*0.15%),IF(AND(M49&gt;=100,M49&lt;1000),(0.5+(M49-100)*0.25%),IF(AND(M49&gt;0,M49&lt;100),M49*0.5%)))))))</f>
        <v>11.132899999999999</v>
      </c>
      <c r="M67" s="24">
        <f ca="1">ROUND(L67*0.9,1)</f>
        <v>10</v>
      </c>
      <c r="Z67" s="2422"/>
      <c r="AI67" s="2423"/>
    </row>
    <row r="68" spans="1:35" ht="14.25" customHeight="1" thickBot="1">
      <c r="A68" s="208" t="s">
        <v>774</v>
      </c>
      <c r="B68" s="209" t="s">
        <v>2253</v>
      </c>
      <c r="C68" s="210">
        <f ca="1">IF(C67&lt;=0,0,ROUND(C67*D68,0))</f>
        <v>1657</v>
      </c>
      <c r="D68" s="211">
        <f>'数据-取费表'!B41</f>
        <v>5.6000000000000001E-2</v>
      </c>
      <c r="E68" s="212"/>
      <c r="F68" s="2488"/>
      <c r="G68" s="2488"/>
      <c r="H68" s="2496"/>
      <c r="I68" s="138"/>
      <c r="J68" s="3121"/>
      <c r="K68" s="2498" t="s">
        <v>2254</v>
      </c>
      <c r="L68" s="1748">
        <f ca="1">IF(M49&gt;10000,M49*0.5%,IF(AND(M49&gt;5000,M49&lt;=10000),M49*1%,IF(AND(M49&gt;1000,M49&lt;=5000),M49*2%,IF(AND(M49&gt;200,M49&lt;=1000),M49*3%,M49*5%))))</f>
        <v>194.14500000000001</v>
      </c>
      <c r="M68" s="24">
        <f ca="1">ROUND(L68,1)</f>
        <v>194.1</v>
      </c>
      <c r="Z68" s="2422"/>
      <c r="AI68" s="2423"/>
    </row>
    <row r="69" spans="1:35" s="2445" customFormat="1" ht="16.5" customHeight="1">
      <c r="A69" s="2499"/>
      <c r="B69" s="2500"/>
      <c r="C69" s="2501"/>
      <c r="D69" s="2502"/>
      <c r="E69" s="2503"/>
      <c r="F69" s="2165"/>
      <c r="G69" s="2165"/>
      <c r="H69" s="2164"/>
      <c r="I69" s="2417"/>
      <c r="J69" s="3121"/>
      <c r="K69" s="2498" t="s">
        <v>2255</v>
      </c>
      <c r="L69" s="2504"/>
      <c r="M69" s="24">
        <f ca="1">ROUND(SUM(M63:M68),0)</f>
        <v>632</v>
      </c>
      <c r="N69" s="1749">
        <f ca="1">M69/M49</f>
        <v>1.6276494372762625E-2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2256</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2237</v>
      </c>
      <c r="B71" s="3153"/>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29584</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22353</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22175</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f>ROUND(8450*Sheet1!C64/10000,0)</f>
        <v>21519</v>
      </c>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58" t="s">
        <v>2265</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656</v>
      </c>
      <c r="D77" s="223">
        <f>'数据-取费表'!B48+'数据-取费表'!B49</f>
        <v>3.0499999999999999E-2</v>
      </c>
      <c r="E77" s="15" t="s">
        <v>2267</v>
      </c>
      <c r="F77" s="224"/>
      <c r="G77" s="2512" t="s">
        <v>3249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178</v>
      </c>
      <c r="D78" s="226">
        <f>'数据-取费表'!B43</f>
        <v>6.000000000000001E-3</v>
      </c>
      <c r="E78" s="3149" t="s">
        <v>2270</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2271</v>
      </c>
      <c r="C79" s="207">
        <f ca="1">C72-C73</f>
        <v>7231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0.32349125397038431</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2169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2274</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2237</v>
      </c>
      <c r="B84" s="3153"/>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29584</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178</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1796"/>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49" t="s">
        <v>2283</v>
      </c>
      <c r="F91" s="3150"/>
      <c r="G91" s="3150"/>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49" t="s">
        <v>2287</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178</v>
      </c>
      <c r="D93" s="226">
        <f>'数据-取费表'!B43</f>
        <v>6.000000000000001E-3</v>
      </c>
      <c r="E93" s="3149" t="s">
        <v>2270</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96" t="s">
        <v>2291</v>
      </c>
      <c r="F94" s="3197"/>
      <c r="G94" s="3197"/>
      <c r="H94" s="31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2271</v>
      </c>
      <c r="C95" s="207">
        <f ca="1">ROUND(C85-C86,0)</f>
        <v>29406</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165.20224719101122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17581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33"/>
      <c r="E100" s="3106" t="s">
        <v>2294</v>
      </c>
      <c r="F100" s="3106"/>
      <c r="G100" s="3106"/>
      <c r="H100" s="3133"/>
      <c r="I100" s="138"/>
    </row>
    <row r="101" spans="1:35" ht="18.75" customHeight="1">
      <c r="A101" s="3141" t="s">
        <v>2295</v>
      </c>
      <c r="B101" s="3142"/>
      <c r="C101" s="736" t="str">
        <f>C4</f>
        <v>典型户型修正</v>
      </c>
      <c r="D101" s="737" t="str">
        <f>D4</f>
        <v>典型户型修正</v>
      </c>
      <c r="E101" s="3117" t="s">
        <v>2296</v>
      </c>
      <c r="F101" s="3118"/>
      <c r="G101" s="2519" t="s">
        <v>2297</v>
      </c>
      <c r="H101" s="1045">
        <f ca="1">H118</f>
        <v>38829</v>
      </c>
      <c r="I101" s="138"/>
    </row>
    <row r="102" spans="1:35" ht="18.75" customHeight="1">
      <c r="A102" s="3143" t="s">
        <v>2298</v>
      </c>
      <c r="B102" s="2519" t="s">
        <v>2297</v>
      </c>
      <c r="C102" s="736">
        <f ca="1">C19</f>
        <v>38829</v>
      </c>
      <c r="D102" s="737">
        <f ca="1">D19</f>
        <v>38829</v>
      </c>
      <c r="E102" s="3117"/>
      <c r="F102" s="3118"/>
      <c r="G102" s="2519" t="s">
        <v>2299</v>
      </c>
      <c r="H102" s="371">
        <f ca="1">I118</f>
        <v>50427</v>
      </c>
      <c r="I102" s="138"/>
    </row>
    <row r="103" spans="1:35" ht="42.75" customHeight="1">
      <c r="A103" s="3143"/>
      <c r="B103" s="2519" t="s">
        <v>2299</v>
      </c>
      <c r="C103" s="738">
        <f ca="1">C20</f>
        <v>50427</v>
      </c>
      <c r="D103" s="739">
        <f ca="1">D20</f>
        <v>50427</v>
      </c>
      <c r="E103" s="3111" t="s">
        <v>2300</v>
      </c>
      <c r="F103" s="3112"/>
      <c r="G103" s="2520" t="s">
        <v>2301</v>
      </c>
      <c r="H103" s="1045">
        <f>IF(D36="正常操作",H104+H105+H106,H105+H106)</f>
        <v>25000</v>
      </c>
      <c r="I103" s="138"/>
    </row>
    <row r="104" spans="1:35" ht="18.75" customHeight="1">
      <c r="A104" s="3143" t="s">
        <v>2302</v>
      </c>
      <c r="B104" s="2521" t="s">
        <v>2297</v>
      </c>
      <c r="C104" s="740">
        <f ca="1">H118</f>
        <v>38829</v>
      </c>
      <c r="D104" s="741"/>
      <c r="E104" s="2266" t="s">
        <v>2303</v>
      </c>
      <c r="F104" s="2257"/>
      <c r="G104" s="2520" t="s">
        <v>2301</v>
      </c>
      <c r="H104" s="1046">
        <f>IF(D36="同一抵押权人同一抵押物续贷",C36&amp;"（未扣减，详见特别提示）",C36)</f>
        <v>25000</v>
      </c>
      <c r="I104" s="138"/>
    </row>
    <row r="105" spans="1:35" ht="18.75" customHeight="1" thickBot="1">
      <c r="A105" s="3155"/>
      <c r="B105" s="2522" t="s">
        <v>2299</v>
      </c>
      <c r="C105" s="742">
        <f ca="1">I118</f>
        <v>50427</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44" t="str">
        <f>IF(项目基本情况!E8="已注销","——","3.房地产抵押价值")</f>
        <v>3.房地产抵押价值</v>
      </c>
      <c r="F107" s="3118"/>
      <c r="G107" s="2519" t="s">
        <v>2297</v>
      </c>
      <c r="H107" s="1045">
        <f ca="1">IF(E107="——","——",H101-H103)</f>
        <v>13829</v>
      </c>
      <c r="I107" s="138"/>
    </row>
    <row r="108" spans="1:35" ht="18.75" customHeight="1">
      <c r="A108" s="138"/>
      <c r="B108" s="138"/>
      <c r="C108" s="138"/>
      <c r="D108" s="138"/>
      <c r="E108" s="3144"/>
      <c r="F108" s="3118"/>
      <c r="G108" s="2519" t="s">
        <v>2299</v>
      </c>
      <c r="H108" s="371">
        <f ca="1">ROUND(H107*10000/'数据-汇总表'!E3,0)</f>
        <v>17960</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4.抵押担保权已注销时的房地产抵押价值</v>
      </c>
      <c r="F109" s="3118"/>
      <c r="G109" s="2519" t="s">
        <v>2297</v>
      </c>
      <c r="H109" s="348">
        <f ca="1">IF(E109="——","——",H101-H105-H106)</f>
        <v>38829</v>
      </c>
      <c r="I109" s="138"/>
    </row>
    <row r="110" spans="1:35" ht="18.75" customHeight="1">
      <c r="A110" s="138"/>
      <c r="B110" s="138"/>
      <c r="C110" s="138"/>
      <c r="D110" s="138"/>
      <c r="E110" s="3144"/>
      <c r="F110" s="3118"/>
      <c r="G110" s="2519" t="s">
        <v>2299</v>
      </c>
      <c r="H110" s="371">
        <f ca="1">IF(H109="——","——",ROUND(H109*10000/'数据-汇总表'!E3,0))</f>
        <v>50427</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2297</v>
      </c>
      <c r="H111" s="1045" t="str">
        <f>IF(E111="——","——",N59)</f>
        <v>——</v>
      </c>
      <c r="I111" s="138"/>
    </row>
    <row r="112" spans="1:35" ht="18.75" customHeight="1" thickBot="1">
      <c r="A112" s="138"/>
      <c r="B112" s="138"/>
      <c r="C112" s="138"/>
      <c r="D112" s="138"/>
      <c r="E112" s="3147"/>
      <c r="F112" s="3148"/>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8" t="s">
        <v>2307</v>
      </c>
      <c r="B115" s="3169"/>
      <c r="C115" s="3169"/>
      <c r="D115" s="3169"/>
      <c r="E115" s="3169"/>
      <c r="F115" s="3169"/>
      <c r="G115" s="3169"/>
      <c r="H115" s="3169"/>
      <c r="I115" s="3170"/>
    </row>
    <row r="116" spans="1:11" ht="27" customHeight="1">
      <c r="A116" s="3063" t="s">
        <v>2308</v>
      </c>
      <c r="B116" s="3073" t="s">
        <v>2309</v>
      </c>
      <c r="C116" s="3073" t="s">
        <v>2310</v>
      </c>
      <c r="D116" s="3075" t="s">
        <v>2311</v>
      </c>
      <c r="E116" s="3076"/>
      <c r="F116" s="3077" t="s">
        <v>3288</v>
      </c>
      <c r="G116" s="3077"/>
      <c r="H116" s="3063" t="s">
        <v>2313</v>
      </c>
      <c r="I116" s="3063"/>
    </row>
    <row r="117" spans="1:11" ht="18.75" customHeight="1">
      <c r="A117" s="3063"/>
      <c r="B117" s="3074"/>
      <c r="C117" s="3074"/>
      <c r="D117" s="1794" t="s">
        <v>2314</v>
      </c>
      <c r="E117" s="1794" t="s">
        <v>2315</v>
      </c>
      <c r="F117" s="1794" t="s">
        <v>2314</v>
      </c>
      <c r="G117" s="1794" t="s">
        <v>2316</v>
      </c>
      <c r="H117" s="1794" t="s">
        <v>2314</v>
      </c>
      <c r="I117" s="1794" t="s">
        <v>2316</v>
      </c>
    </row>
    <row r="118" spans="1:11" ht="24.75" customHeight="1">
      <c r="A118" s="2525" t="str">
        <f>项目基本情况!S2</f>
        <v>北京市出让国有建设用地使用权及在建建筑物房地产</v>
      </c>
      <c r="B118" s="1794">
        <f>M18</f>
        <v>7700.0099999999984</v>
      </c>
      <c r="C118" s="1794">
        <f>M19</f>
        <v>373.16</v>
      </c>
      <c r="D118" s="1794">
        <f ca="1">ROUND(IF(D32="总价",C34,E118*B118/10000),0)</f>
        <v>33943</v>
      </c>
      <c r="E118" s="1794">
        <f ca="1">ROUND(IF(C33="自定义",IF(D32="楼面单价",C34,D118*10000/B118),I118-G118),0)</f>
        <v>44082</v>
      </c>
      <c r="F118" s="1794">
        <f ca="1">ROUND(IF(D32="总价",C35,G118*B118/10000),0)</f>
        <v>4886</v>
      </c>
      <c r="G118" s="1794">
        <f ca="1">ROUND(IF(D32="楼面单价",C35,F118*10000/B118),0)</f>
        <v>6345</v>
      </c>
      <c r="H118" s="1794">
        <f ca="1">ROUND(IF(D32="总价",C32,I118*B118/10000),0)</f>
        <v>38829</v>
      </c>
      <c r="I118" s="1794">
        <f ca="1">ROUND(IF(D32="楼面单价",C32,H118*10000/B118),0)</f>
        <v>50427</v>
      </c>
    </row>
    <row r="119" spans="1:11" ht="18.75" customHeight="1">
      <c r="A119" s="3063" t="s">
        <v>2317</v>
      </c>
      <c r="B119" s="3063"/>
      <c r="C119" s="3063"/>
      <c r="D119" s="3127" t="str">
        <f ca="1">NUMBERSTRING(INT(D118*10000),2)&amp;"元整"</f>
        <v>叁亿叁仟玖佰肆拾叁万元整</v>
      </c>
      <c r="E119" s="3128"/>
      <c r="F119" s="3127" t="str">
        <f ca="1">NUMBERSTRING(INT(F118*10000),2)&amp;"元整"</f>
        <v>肆仟捌佰捌拾陆万元整</v>
      </c>
      <c r="G119" s="3128"/>
      <c r="H119" s="3127" t="str">
        <f ca="1">NUMBERSTRING(INT(H118*10000),2)&amp;"元整"</f>
        <v>叁亿捌仟捌佰贰拾玖万元整</v>
      </c>
      <c r="I119" s="3128"/>
    </row>
    <row r="120" spans="1:11" ht="18.75" customHeight="1">
      <c r="A120" s="3124" t="str">
        <f>IF(项目基本情况!B9="房地产市场价值","",MID(E103,3,LEN(E103)-2))</f>
        <v>估价师知悉的法定优先受偿款</v>
      </c>
      <c r="B120" s="3125"/>
      <c r="C120" s="3126"/>
      <c r="D120" s="3124">
        <f>H103</f>
        <v>25000</v>
      </c>
      <c r="E120" s="3125"/>
      <c r="F120" s="3125"/>
      <c r="G120" s="3125"/>
      <c r="H120" s="3125"/>
      <c r="I120" s="3126"/>
      <c r="K120" s="2422" t="str">
        <f>IF(D120=0,"故，本次评估不存在"&amp;A120,"故，本次评估"&amp;A120&amp;"为人民币"&amp;D120&amp;"万元整。")</f>
        <v>故，本次评估估价师知悉的法定优先受偿款为人民币25000万元整。</v>
      </c>
    </row>
    <row r="121" spans="1:11" ht="18.75" customHeight="1">
      <c r="A121" s="3165" t="s">
        <v>2317</v>
      </c>
      <c r="B121" s="3166"/>
      <c r="C121" s="3167"/>
      <c r="D121" s="3127" t="str">
        <f>IF(D120=0,"零元整",NUMBERSTRING(INT(D120*10000),2)&amp;"元整")</f>
        <v>贰亿伍仟万元整</v>
      </c>
      <c r="E121" s="3129"/>
      <c r="F121" s="3129"/>
      <c r="G121" s="3129"/>
      <c r="H121" s="3129"/>
      <c r="I121" s="3128"/>
    </row>
    <row r="122" spans="1:11" ht="18.75" customHeight="1">
      <c r="A122" s="3131" t="str">
        <f>IF(项目基本情况!B9="房地产市场价值","",MID(E107,3,LEN(E107)-2))</f>
        <v>房地产抵押价值</v>
      </c>
      <c r="B122" s="3131"/>
      <c r="C122" s="3131"/>
      <c r="D122" s="3124">
        <f ca="1">H107</f>
        <v>13829</v>
      </c>
      <c r="E122" s="3125"/>
      <c r="F122" s="3125"/>
      <c r="G122" s="3125"/>
      <c r="H122" s="3125"/>
      <c r="I122" s="3126"/>
    </row>
    <row r="123" spans="1:11" ht="18.75" customHeight="1">
      <c r="A123" s="3063" t="s">
        <v>2317</v>
      </c>
      <c r="B123" s="3063"/>
      <c r="C123" s="3063"/>
      <c r="D123" s="3127" t="str">
        <f ca="1">NUMBERSTRING(INT(D122*10000),2)&amp;"元整"</f>
        <v>壹亿叁仟捌佰贰拾玖万元整</v>
      </c>
      <c r="E123" s="3129"/>
      <c r="F123" s="3129"/>
      <c r="G123" s="3129"/>
      <c r="H123" s="3129"/>
      <c r="I123" s="3128"/>
    </row>
    <row r="124" spans="1:11" ht="18.75" customHeight="1">
      <c r="A124" s="3131" t="str">
        <f>IF(项目基本情况!B9="房地产市场价值","",MID(E109,3,LEN(E109)-2))</f>
        <v>抵押担保权已注销时的房地产抵押价值</v>
      </c>
      <c r="B124" s="3131"/>
      <c r="C124" s="3131"/>
      <c r="D124" s="3124">
        <f ca="1">H109</f>
        <v>38829</v>
      </c>
      <c r="E124" s="3125"/>
      <c r="F124" s="3125"/>
      <c r="G124" s="3125"/>
      <c r="H124" s="3125"/>
      <c r="I124" s="3126"/>
    </row>
    <row r="125" spans="1:11" ht="18.75" customHeight="1">
      <c r="A125" s="3063" t="s">
        <v>2317</v>
      </c>
      <c r="B125" s="3063"/>
      <c r="C125" s="3063"/>
      <c r="D125" s="3127" t="str">
        <f ca="1">NUMBERSTRING(INT(D124*10000),2)&amp;"元整"</f>
        <v>叁亿捌仟捌佰贰拾玖万元整</v>
      </c>
      <c r="E125" s="3129"/>
      <c r="F125" s="3129"/>
      <c r="G125" s="3129"/>
      <c r="H125" s="3129"/>
      <c r="I125" s="3128"/>
    </row>
    <row r="126" spans="1:11" ht="18.75" customHeight="1">
      <c r="A126" s="3131" t="str">
        <f>IF(项目基本情况!B9="房地产市场价值","",MID(E111,3,LEN(E111)-2))</f>
        <v/>
      </c>
      <c r="B126" s="3131"/>
      <c r="C126" s="3131"/>
      <c r="D126" s="3124" t="str">
        <f>H111</f>
        <v>——</v>
      </c>
      <c r="E126" s="3125"/>
      <c r="F126" s="3125"/>
      <c r="G126" s="3125"/>
      <c r="H126" s="3125"/>
      <c r="I126" s="3126"/>
    </row>
    <row r="127" spans="1:11" ht="18.75" customHeight="1">
      <c r="A127" s="3063" t="s">
        <v>2317</v>
      </c>
      <c r="B127" s="3063"/>
      <c r="C127" s="3063"/>
      <c r="D127" s="3127" t="e">
        <f>NUMBERSTRING(INT(D126*10000),2)&amp;"元整"</f>
        <v>#VALUE!</v>
      </c>
      <c r="E127" s="3129"/>
      <c r="F127" s="3129"/>
      <c r="G127" s="3129"/>
      <c r="H127" s="3129"/>
      <c r="I127" s="3128"/>
    </row>
    <row r="128" spans="1:11" ht="21.75" customHeight="1">
      <c r="A128" s="3130" t="s">
        <v>2318</v>
      </c>
      <c r="B128" s="3130"/>
      <c r="C128" s="3130"/>
      <c r="D128" s="3130"/>
      <c r="E128" s="3130"/>
      <c r="F128" s="3130"/>
      <c r="G128" s="3130"/>
      <c r="H128" s="3130"/>
      <c r="I128" s="3130"/>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673</v>
      </c>
      <c r="C2" s="243" t="s">
        <v>2328</v>
      </c>
      <c r="D2" s="2548" t="s">
        <v>70</v>
      </c>
      <c r="E2" s="1439"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874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1"/>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2"/>
      <c r="H9" s="1389"/>
      <c r="I9" s="2553" t="s">
        <v>2344</v>
      </c>
    </row>
    <row r="10" spans="1:9" s="258" customFormat="1" ht="13.5" customHeight="1">
      <c r="A10" s="950" t="s">
        <v>801</v>
      </c>
      <c r="B10" s="268" t="s">
        <v>2345</v>
      </c>
      <c r="C10" s="269">
        <f ca="1">ROUND(D10*E10/10000,0)</f>
        <v>154</v>
      </c>
      <c r="D10" s="1032">
        <f ca="1">IF(B1="",'数据-汇总表'!E6,IF(INDIRECT("'数据-取费表'!c"&amp;$G$1)="住宅",INDIRECT("'数据-取费表'!s"&amp;$G$1),INDIRECT("'数据-取费表'!k"&amp;$G$1)+INDIRECT("'数据-取费表'!s"&amp;$G$1)))</f>
        <v>7700.0099999999984</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154</v>
      </c>
      <c r="D19" s="1036">
        <f ca="1">D9+D10</f>
        <v>7700.0099999999984</v>
      </c>
      <c r="E19" s="255">
        <f>'数据-取费表'!B31</f>
        <v>200</v>
      </c>
      <c r="F19" s="275"/>
      <c r="G19" s="2551"/>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23</v>
      </c>
      <c r="D22" s="279">
        <f ca="1">C26</f>
        <v>1.4E-3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23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31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31</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229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404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239</v>
      </c>
      <c r="D34" s="261"/>
      <c r="E34" s="264"/>
      <c r="F34" s="301">
        <f ca="1">IF('数据-取费表'!B24=0,1,IF(B1="",'数据-取费表'!N16,INDIRECT("'数据-取费表'!n"&amp;$G$1)))</f>
        <v>1</v>
      </c>
      <c r="G34" s="263" t="s">
        <v>2391</v>
      </c>
    </row>
    <row r="35" spans="1:7" ht="13.5" customHeight="1">
      <c r="A35" s="951" t="s">
        <v>796</v>
      </c>
      <c r="B35" s="259" t="s">
        <v>2392</v>
      </c>
      <c r="C35" s="264">
        <f ca="1">ROUND(C34*F35,0)</f>
        <v>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154</v>
      </c>
      <c r="D37" s="261">
        <f ca="1">D19</f>
        <v>7700.0099999999984</v>
      </c>
      <c r="E37" s="293">
        <f>'数据-取费表'!B35</f>
        <v>200</v>
      </c>
      <c r="F37" s="303"/>
      <c r="G37" s="305" t="s">
        <v>2397</v>
      </c>
    </row>
    <row r="38" spans="1:7" ht="13.5" customHeight="1">
      <c r="A38" s="951" t="s">
        <v>799</v>
      </c>
      <c r="B38" s="259" t="s">
        <v>2398</v>
      </c>
      <c r="C38" s="264">
        <f ca="1">ROUND(C34*F38,0)</f>
        <v>4</v>
      </c>
      <c r="D38" s="264"/>
      <c r="E38" s="264"/>
      <c r="F38" s="303">
        <f>'数据-取费表'!B36</f>
        <v>1.4999999999999999E-2</v>
      </c>
      <c r="G38" s="263" t="s">
        <v>2393</v>
      </c>
    </row>
    <row r="39" spans="1:7" s="258" customFormat="1" ht="13.5" customHeight="1">
      <c r="A39" s="299" t="s">
        <v>2399</v>
      </c>
      <c r="B39" s="254" t="s">
        <v>2400</v>
      </c>
      <c r="C39" s="276">
        <f ca="1">ROUND(C33*F20,0)</f>
        <v>8</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30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29</v>
      </c>
      <c r="D42" s="282"/>
      <c r="E42" s="282"/>
      <c r="F42" s="283"/>
      <c r="G42" s="3199" t="s">
        <v>2409</v>
      </c>
    </row>
    <row r="43" spans="1:7" ht="13.5" customHeight="1">
      <c r="A43" s="951" t="s">
        <v>792</v>
      </c>
      <c r="B43" s="259" t="s">
        <v>2410</v>
      </c>
      <c r="C43" s="282">
        <f ca="1">ROUND(IF('数据-取费表'!B22&lt;=1,C39*F22*'数据-取费表'!B21/2,C39*(POWER((1+F22),'数据-取费表'!B21/2)-1)),0)</f>
        <v>1</v>
      </c>
      <c r="D43" s="282"/>
      <c r="E43" s="282"/>
      <c r="F43" s="283"/>
      <c r="G43" s="3200"/>
    </row>
    <row r="44" spans="1:7" ht="13.5" customHeight="1">
      <c r="A44" s="951" t="s">
        <v>793</v>
      </c>
      <c r="B44" s="259" t="s">
        <v>2411</v>
      </c>
      <c r="C44" s="282">
        <f ca="1">ROUND(IF('数据-取费表'!B22&lt;=1,C40*F22*'数据-取费表'!B21/2,C40*(POWER((1+F22),'数据-取费表'!B21/2)-1)),4)</f>
        <v>1.4E-3</v>
      </c>
      <c r="D44" s="282"/>
      <c r="E44" s="282"/>
      <c r="F44" s="283"/>
      <c r="G44" s="3201"/>
    </row>
    <row r="45" spans="1:7" s="258" customFormat="1" ht="13.5" customHeight="1">
      <c r="A45" s="299" t="s">
        <v>2412</v>
      </c>
      <c r="B45" s="288" t="s">
        <v>2378</v>
      </c>
      <c r="C45" s="289">
        <f ca="1">C46</f>
        <v>82</v>
      </c>
      <c r="D45" s="279">
        <f ca="1">C47</f>
        <v>4.0000000000000001E-3</v>
      </c>
      <c r="E45" s="280" t="s">
        <v>2404</v>
      </c>
      <c r="F45" s="290"/>
      <c r="G45" s="291" t="s">
        <v>2413</v>
      </c>
    </row>
    <row r="46" spans="1:7" s="258" customFormat="1" ht="13.5" customHeight="1">
      <c r="A46" s="951" t="s">
        <v>791</v>
      </c>
      <c r="B46" s="292" t="s">
        <v>2414</v>
      </c>
      <c r="C46" s="293">
        <f ca="1">ROUND((C33+C39)*F27,0)</f>
        <v>82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569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444</v>
      </c>
      <c r="D51" s="276"/>
      <c r="E51" s="276"/>
      <c r="F51" s="308"/>
      <c r="G51" s="278" t="s">
        <v>2425</v>
      </c>
    </row>
    <row r="52" spans="1:7" s="252" customFormat="1" ht="16.5" thickBot="1">
      <c r="A52" s="309" t="s">
        <v>2426</v>
      </c>
      <c r="B52" s="310"/>
      <c r="C52" s="311">
        <f ca="1">C31+C51</f>
        <v>673</v>
      </c>
      <c r="D52" s="310"/>
      <c r="E52" s="310"/>
      <c r="F52" s="310"/>
      <c r="G52" s="312"/>
    </row>
    <row r="55" spans="1:7" ht="15">
      <c r="B55" s="314" t="s">
        <v>2427</v>
      </c>
      <c r="C55" s="315"/>
    </row>
    <row r="56" spans="1:7">
      <c r="B56" s="317" t="s">
        <v>1507</v>
      </c>
      <c r="C56" s="319">
        <f ca="1">1-C57</f>
        <v>0.33999999999999997</v>
      </c>
    </row>
    <row r="57" spans="1:7">
      <c r="B57" s="317" t="s">
        <v>1508</v>
      </c>
      <c r="C57" s="318">
        <f ca="1">ROUND(C51/C52,3)</f>
        <v>0.66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4"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904</v>
      </c>
      <c r="C2" s="243" t="s">
        <v>2328</v>
      </c>
      <c r="D2" s="2548" t="s">
        <v>70</v>
      </c>
      <c r="E2" s="1439"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1174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1540002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1540002</v>
      </c>
      <c r="D8" s="266"/>
      <c r="E8" s="264"/>
      <c r="F8" s="265"/>
      <c r="G8" s="2551"/>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1540002</v>
      </c>
      <c r="D10" s="1032">
        <f ca="1">IF(B1="",'数据-汇总表'!E6,IF(INDIRECT("'数据-取费表'!c"&amp;$G$1)="住宅",INDIRECT("'数据-取费表'!s"&amp;$G$1),INDIRECT("'数据-取费表'!k"&amp;$G$1)+INDIRECT("'数据-取费表'!s"&amp;$G$1)))</f>
        <v>7700.0099999999984</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1540002</v>
      </c>
      <c r="D19" s="1036">
        <f ca="1">D9+D10</f>
        <v>7700.0099999999984</v>
      </c>
      <c r="E19" s="255">
        <f>'数据-取费表'!B31</f>
        <v>200</v>
      </c>
      <c r="F19" s="275"/>
      <c r="G19" s="2551"/>
    </row>
    <row r="20" spans="1:7" s="258" customFormat="1" ht="13.5" customHeight="1">
      <c r="A20" s="299" t="s">
        <v>2439</v>
      </c>
      <c r="B20" s="254" t="s">
        <v>2440</v>
      </c>
      <c r="C20" s="276">
        <f ca="1">ROUND((C5+C19)*F20,0)</f>
        <v>61600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464519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230039</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230039</v>
      </c>
      <c r="D24" s="282"/>
      <c r="E24" s="282"/>
      <c r="F24" s="283"/>
      <c r="G24" s="284" t="s">
        <v>2451</v>
      </c>
    </row>
    <row r="25" spans="1:7" s="258" customFormat="1" ht="24">
      <c r="A25" s="951" t="s">
        <v>2341</v>
      </c>
      <c r="B25" s="259" t="s">
        <v>2452</v>
      </c>
      <c r="C25" s="1380">
        <f ca="1">ROUND(IF('数据-取费表'!B22&lt;=1,C20*F22*'数据-取费表'!B22/2,C20*(POWER((1+F22),'数据-取费表'!B22/2)-1)),0)</f>
        <v>4441</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628321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628321</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4596162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4040854</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2393160</v>
      </c>
      <c r="D34" s="261"/>
      <c r="E34" s="264"/>
      <c r="F34" s="301"/>
      <c r="G34" s="263"/>
    </row>
    <row r="35" spans="1:7" ht="13.5" customHeight="1">
      <c r="A35" s="951" t="s">
        <v>796</v>
      </c>
      <c r="B35" s="259" t="s">
        <v>2392</v>
      </c>
      <c r="C35" s="264">
        <f ca="1">ROUND(C34*F35,0)</f>
        <v>71795</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1540002</v>
      </c>
      <c r="D37" s="261">
        <f ca="1">D19</f>
        <v>7700.0099999999984</v>
      </c>
      <c r="E37" s="293">
        <f>'数据-取费表'!B35</f>
        <v>200</v>
      </c>
      <c r="F37" s="303"/>
      <c r="G37" s="305"/>
    </row>
    <row r="38" spans="1:7" ht="13.5" customHeight="1">
      <c r="A38" s="951" t="s">
        <v>799</v>
      </c>
      <c r="B38" s="259" t="s">
        <v>2398</v>
      </c>
      <c r="C38" s="264">
        <f ca="1">ROUND(C34*F38,0)</f>
        <v>35897</v>
      </c>
      <c r="D38" s="264"/>
      <c r="E38" s="264"/>
      <c r="F38" s="303">
        <f>'数据-取费表'!B36</f>
        <v>1.4999999999999999E-2</v>
      </c>
      <c r="G38" s="263" t="s">
        <v>2393</v>
      </c>
    </row>
    <row r="39" spans="1:7" s="258" customFormat="1" ht="13.5" customHeight="1">
      <c r="A39" s="299" t="s">
        <v>2399</v>
      </c>
      <c r="B39" s="254" t="s">
        <v>2400</v>
      </c>
      <c r="C39" s="276">
        <f ca="1">ROUND(C33*F20,0)</f>
        <v>80817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297129</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291303</v>
      </c>
      <c r="D42" s="282"/>
      <c r="E42" s="282"/>
      <c r="F42" s="283"/>
      <c r="G42" s="3199" t="s">
        <v>2456</v>
      </c>
    </row>
    <row r="43" spans="1:7" ht="13.5" customHeight="1">
      <c r="A43" s="951" t="s">
        <v>792</v>
      </c>
      <c r="B43" s="259" t="s">
        <v>2410</v>
      </c>
      <c r="C43" s="282">
        <f ca="1">ROUND(IF('数据-取费表'!B22&lt;=1,C39*F22*'数据-取费表'!B20/2,C39*(POWER((1+F22),'数据-取费表'!B20/2)-1)),0)</f>
        <v>5826</v>
      </c>
      <c r="D43" s="282"/>
      <c r="E43" s="282"/>
      <c r="F43" s="283"/>
      <c r="G43" s="3200"/>
    </row>
    <row r="44" spans="1:7" ht="13.5" customHeight="1">
      <c r="A44" s="951" t="s">
        <v>793</v>
      </c>
      <c r="B44" s="259" t="s">
        <v>2411</v>
      </c>
      <c r="C44" s="282">
        <f ca="1">ROUND(IF('数据-取费表'!B22&lt;=1,C40*F22*'数据-取费表'!B20/2,C40*(POWER((1+F22),'数据-取费表'!B20/2)-1)),4)</f>
        <v>1.4E-3</v>
      </c>
      <c r="D44" s="282"/>
      <c r="E44" s="282"/>
      <c r="F44" s="283"/>
      <c r="G44" s="3201"/>
    </row>
    <row r="45" spans="1:7" s="258" customFormat="1" ht="13.5" customHeight="1">
      <c r="A45" s="299" t="s">
        <v>2412</v>
      </c>
      <c r="B45" s="288" t="s">
        <v>2378</v>
      </c>
      <c r="C45" s="289">
        <f ca="1">C46</f>
        <v>824334</v>
      </c>
      <c r="D45" s="279">
        <f ca="1">C47</f>
        <v>4.0000000000000001E-3</v>
      </c>
      <c r="E45" s="280" t="s">
        <v>2404</v>
      </c>
      <c r="F45" s="290"/>
      <c r="G45" s="291" t="s">
        <v>2413</v>
      </c>
    </row>
    <row r="46" spans="1:7" s="258" customFormat="1" ht="13.5" customHeight="1">
      <c r="A46" s="951" t="s">
        <v>791</v>
      </c>
      <c r="B46" s="292" t="s">
        <v>2414</v>
      </c>
      <c r="C46" s="293">
        <f ca="1">ROUND((C33+C39)*F27,0)</f>
        <v>824334</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5691017</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4438993</v>
      </c>
      <c r="D51" s="276"/>
      <c r="E51" s="276"/>
      <c r="F51" s="308"/>
      <c r="G51" s="278" t="s">
        <v>2425</v>
      </c>
    </row>
    <row r="52" spans="1:7" s="252" customFormat="1" ht="16.5" thickBot="1">
      <c r="A52" s="309" t="s">
        <v>2426</v>
      </c>
      <c r="B52" s="310"/>
      <c r="C52" s="311">
        <f ca="1">C31+C51</f>
        <v>9035155</v>
      </c>
      <c r="D52" s="310"/>
      <c r="E52" s="310"/>
      <c r="F52" s="310"/>
      <c r="G52" s="312"/>
    </row>
    <row r="55" spans="1:7" ht="15">
      <c r="B55" s="314" t="s">
        <v>2427</v>
      </c>
      <c r="C55" s="315"/>
    </row>
    <row r="56" spans="1:7">
      <c r="B56" s="317" t="s">
        <v>1507</v>
      </c>
      <c r="C56" s="319">
        <f ca="1">1-C57</f>
        <v>0.50900000000000001</v>
      </c>
    </row>
    <row r="57" spans="1:7">
      <c r="B57" s="317" t="s">
        <v>1508</v>
      </c>
      <c r="C57" s="318">
        <f ca="1">ROUND(C51/C52,3)</f>
        <v>0.49099999999999999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-250</v>
      </c>
      <c r="C2" s="320" t="s">
        <v>2460</v>
      </c>
      <c r="D2" s="320"/>
      <c r="E2" s="320"/>
      <c r="F2" s="320"/>
      <c r="G2" s="320"/>
      <c r="H2" s="320"/>
      <c r="I2" s="320"/>
      <c r="J2" s="320"/>
      <c r="K2" s="320"/>
    </row>
    <row r="3" spans="1:33" ht="18" customHeight="1" thickBot="1">
      <c r="A3" s="247" t="s">
        <v>2329</v>
      </c>
      <c r="B3" s="248">
        <f ca="1">ROUND(B2*10000/IF(C1="",'数据-汇总表'!E3,INDIRECT("'数据-取费表'!K"&amp;$K$1)),0)</f>
        <v>-325</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5" t="s">
        <v>2465</v>
      </c>
      <c r="D5" s="2555" t="s">
        <v>2466</v>
      </c>
      <c r="E5" s="2555" t="s">
        <v>2467</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53</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2</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7700.0099999999984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1</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56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7700.0099999999984</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154</v>
      </c>
      <c r="D18" s="1033"/>
      <c r="E18" s="24"/>
      <c r="F18" s="976"/>
      <c r="G18" s="2557"/>
      <c r="H18" s="1576"/>
      <c r="I18" s="2558"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154</v>
      </c>
      <c r="D20" s="1033">
        <f ca="1">IF(C1="",'数据-汇总表'!E6,IF(INDIRECT("'数据-取费表'!c"&amp;$K$1)="住宅",INDIRECT("'数据-取费表'!s"&amp;$K$1),INDIRECT("'数据-取费表'!k"&amp;$K$1)+INDIRECT("'数据-取费表'!s"&amp;$K$1)))</f>
        <v>7700.0099999999984</v>
      </c>
      <c r="E20" s="24">
        <f>'数据-取费表'!B28</f>
        <v>200</v>
      </c>
      <c r="F20" s="976"/>
      <c r="G20" s="15"/>
      <c r="H20" s="981"/>
      <c r="I20" s="981"/>
      <c r="J20" s="981"/>
      <c r="K20" s="982"/>
    </row>
    <row r="21" spans="1:33" s="975" customFormat="1" ht="13.5" customHeight="1">
      <c r="A21" s="961" t="s">
        <v>802</v>
      </c>
      <c r="B21" s="985" t="s">
        <v>2496</v>
      </c>
      <c r="C21" s="986">
        <f ca="1">C16+C17+C18</f>
        <v>210</v>
      </c>
      <c r="D21" s="987"/>
      <c r="E21" s="325"/>
      <c r="F21" s="325"/>
      <c r="G21" s="140" t="s">
        <v>2497</v>
      </c>
      <c r="H21" s="979"/>
      <c r="I21" s="979"/>
      <c r="J21" s="979"/>
      <c r="K21" s="980"/>
    </row>
    <row r="22" spans="1:33" s="975" customFormat="1" ht="13.5" customHeight="1">
      <c r="A22" s="961" t="s">
        <v>2469</v>
      </c>
      <c r="B22" s="985" t="s">
        <v>2498</v>
      </c>
      <c r="C22" s="986">
        <f ca="1">ROUND(C21*F22,0)</f>
        <v>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2509</v>
      </c>
      <c r="B28" s="2560" t="s">
        <v>2510</v>
      </c>
      <c r="C28" s="331">
        <f ca="1">C30</f>
        <v>43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43</v>
      </c>
      <c r="D30" s="328"/>
      <c r="E30" s="329"/>
      <c r="F30" s="334"/>
      <c r="G30" s="140"/>
      <c r="H30" s="979"/>
      <c r="I30" s="979"/>
      <c r="J30" s="979"/>
      <c r="K30" s="980"/>
    </row>
    <row r="31" spans="1:33" s="975" customFormat="1" ht="13.5" customHeight="1" thickBot="1">
      <c r="A31" s="2561"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-250</v>
      </c>
      <c r="D32" s="1001"/>
      <c r="E32" s="1001"/>
      <c r="F32" s="1001"/>
      <c r="G32" s="1003" t="s">
        <v>2518</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4" t="s">
        <v>1397</v>
      </c>
      <c r="C6" s="1295">
        <f ca="1">ROUND(F6*F8*F7*(1-F9)/10000,0)</f>
        <v>0</v>
      </c>
      <c r="D6" s="164" t="s">
        <v>3030</v>
      </c>
      <c r="E6" s="347" t="s">
        <v>1399</v>
      </c>
      <c r="F6" s="348">
        <f ca="1">INDIRECT("'数据-取费表'!u"&amp;$G$1)</f>
        <v>0</v>
      </c>
      <c r="G6" s="1850"/>
      <c r="H6" s="1290" t="s">
        <v>1031</v>
      </c>
      <c r="I6" s="3204" t="s">
        <v>1397</v>
      </c>
      <c r="J6" s="346">
        <f ca="1">ROUND(M6*M8*M7*(1-M9)/10000,0)</f>
        <v>0</v>
      </c>
      <c r="K6" s="164" t="s">
        <v>3029</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0</v>
      </c>
      <c r="G7" s="1850"/>
      <c r="H7" s="349"/>
      <c r="I7" s="3205"/>
      <c r="J7" s="351"/>
      <c r="K7" s="352"/>
      <c r="L7" s="347" t="s">
        <v>1400</v>
      </c>
      <c r="M7" s="348">
        <f ca="1">F7</f>
        <v>0</v>
      </c>
    </row>
    <row r="8" spans="1:37" ht="18" customHeight="1">
      <c r="A8" s="349"/>
      <c r="B8" s="3205"/>
      <c r="C8" s="351"/>
      <c r="D8" s="352"/>
      <c r="E8" s="347" t="s">
        <v>1401</v>
      </c>
      <c r="F8" s="348">
        <f ca="1">INDIRECT("'数据-取费表'!ai"&amp;$G$1)</f>
        <v>0</v>
      </c>
      <c r="G8" s="1850"/>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3039</v>
      </c>
      <c r="E10" s="358" t="s">
        <v>1404</v>
      </c>
      <c r="F10" s="1365"/>
      <c r="G10" s="1850"/>
      <c r="H10" s="1290" t="s">
        <v>1035</v>
      </c>
      <c r="I10" s="1822" t="s">
        <v>1403</v>
      </c>
      <c r="J10" s="346">
        <f ca="1">ROUND(IF(M10="押一",J6/12*M11,IF(M10="押二",J6/12*2*M11,IF(M10="押三",J6/12*3*M11,J11*M11))),0)</f>
        <v>0</v>
      </c>
      <c r="K10" s="1823" t="s">
        <v>3038</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3031</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3038</v>
      </c>
      <c r="E53" s="358" t="s">
        <v>1404</v>
      </c>
      <c r="F53" s="1365"/>
      <c r="I53" s="1904" t="s">
        <v>1541</v>
      </c>
      <c r="J53" s="2950">
        <f ca="1">IF(M47="住宅",IF(D1="——",MAX(J51,L48),MAX(J51,L48-'数据-取费表'!B24)),IF(D1="——",MIN(J51,L48),MIN(J51,L48-'数据-取费表'!B24)))</f>
        <v>0</v>
      </c>
      <c r="K53" s="3202" t="s">
        <v>1542</v>
      </c>
      <c r="L53" s="3203"/>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70" zoomScaleNormal="100" zoomScaleSheetLayoutView="70" zoomScalePageLayoutView="80" workbookViewId="0">
      <selection activeCell="J109" sqref="J10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3267</v>
      </c>
      <c r="D1" s="2417"/>
      <c r="E1" s="2417"/>
      <c r="F1" s="2419" t="s">
        <v>2118</v>
      </c>
      <c r="G1" s="2069" t="s">
        <v>2119</v>
      </c>
      <c r="H1" s="2420" t="str">
        <f>IF(G1="现房","——","估价对象范围")</f>
        <v>估价对象范围</v>
      </c>
      <c r="I1" s="2421"/>
    </row>
    <row r="2" spans="1:12" ht="21.75" customHeight="1" thickBot="1">
      <c r="A2" s="3178" t="str">
        <f>项目基本情况!S2</f>
        <v>北京市出让国有建设用地使用权及在建建筑物房地产</v>
      </c>
      <c r="B2" s="3179"/>
      <c r="C2" s="3179"/>
      <c r="D2" s="3179"/>
      <c r="E2" s="3179"/>
      <c r="F2" s="3179"/>
      <c r="G2" s="3179"/>
      <c r="H2" s="3179"/>
      <c r="I2" s="3180"/>
    </row>
    <row r="3" spans="1:12" ht="12.75">
      <c r="A3" s="3181" t="s">
        <v>2120</v>
      </c>
      <c r="B3" s="3182"/>
      <c r="C3" s="3182"/>
      <c r="D3" s="3182"/>
      <c r="E3" s="3182"/>
      <c r="F3" s="3182"/>
      <c r="G3" s="3182"/>
      <c r="H3" s="3182"/>
      <c r="I3" s="3182"/>
    </row>
    <row r="4" spans="1:12" ht="14.25">
      <c r="A4" s="2424" t="s">
        <v>2121</v>
      </c>
      <c r="B4" s="2425" t="s">
        <v>2122</v>
      </c>
      <c r="C4" s="2426" t="s">
        <v>3057</v>
      </c>
      <c r="D4" s="2426" t="s">
        <v>3058</v>
      </c>
      <c r="E4" s="3163" t="s">
        <v>2123</v>
      </c>
      <c r="F4" s="3175"/>
      <c r="G4" s="3175"/>
      <c r="H4" s="3175"/>
      <c r="I4" s="3164"/>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4" t="s">
        <v>2124</v>
      </c>
      <c r="B5" s="3063">
        <v>25</v>
      </c>
      <c r="C5" s="3183"/>
      <c r="D5" s="3171"/>
      <c r="E5" s="140" t="s">
        <v>2125</v>
      </c>
      <c r="F5" s="2428"/>
      <c r="G5" s="2428"/>
      <c r="H5" s="2428"/>
      <c r="I5" s="1830"/>
    </row>
    <row r="6" spans="1:12" ht="12.75">
      <c r="A6" s="3154"/>
      <c r="B6" s="3063"/>
      <c r="C6" s="3185"/>
      <c r="D6" s="3171"/>
      <c r="E6" s="140" t="s">
        <v>2126</v>
      </c>
      <c r="F6" s="2428"/>
      <c r="G6" s="2428"/>
      <c r="H6" s="2428"/>
      <c r="I6" s="1830"/>
    </row>
    <row r="7" spans="1:12" ht="12.75">
      <c r="A7" s="3154"/>
      <c r="B7" s="3063"/>
      <c r="C7" s="3184"/>
      <c r="D7" s="3171"/>
      <c r="E7" s="140" t="s">
        <v>2127</v>
      </c>
      <c r="F7" s="2428"/>
      <c r="G7" s="2428"/>
      <c r="H7" s="2428"/>
      <c r="I7" s="1830"/>
    </row>
    <row r="8" spans="1:12" ht="12.75">
      <c r="A8" s="3154" t="s">
        <v>2128</v>
      </c>
      <c r="B8" s="3063">
        <v>15</v>
      </c>
      <c r="C8" s="3183"/>
      <c r="D8" s="3171"/>
      <c r="E8" s="140" t="s">
        <v>2129</v>
      </c>
      <c r="F8" s="2428"/>
      <c r="G8" s="2428"/>
      <c r="H8" s="2428"/>
      <c r="I8" s="1830"/>
    </row>
    <row r="9" spans="1:12" ht="12.75">
      <c r="A9" s="3154"/>
      <c r="B9" s="3063"/>
      <c r="C9" s="3184"/>
      <c r="D9" s="3171"/>
      <c r="E9" s="140" t="s">
        <v>2130</v>
      </c>
      <c r="F9" s="2428"/>
      <c r="G9" s="2428"/>
      <c r="H9" s="2428"/>
      <c r="I9" s="1830"/>
    </row>
    <row r="10" spans="1:12" ht="12.75">
      <c r="A10" s="3154" t="s">
        <v>2131</v>
      </c>
      <c r="B10" s="3063">
        <v>15</v>
      </c>
      <c r="C10" s="3183"/>
      <c r="D10" s="3171"/>
      <c r="E10" s="140" t="s">
        <v>2132</v>
      </c>
      <c r="F10" s="2428"/>
      <c r="G10" s="2428"/>
      <c r="H10" s="2428"/>
      <c r="I10" s="1830"/>
    </row>
    <row r="11" spans="1:12" ht="12.75">
      <c r="A11" s="3154"/>
      <c r="B11" s="3063"/>
      <c r="C11" s="3184"/>
      <c r="D11" s="3171"/>
      <c r="E11" s="140" t="s">
        <v>2133</v>
      </c>
      <c r="F11" s="2428"/>
      <c r="G11" s="2428"/>
      <c r="H11" s="2428"/>
      <c r="I11" s="1830"/>
    </row>
    <row r="12" spans="1:12" ht="12.75">
      <c r="A12" s="3154" t="s">
        <v>2134</v>
      </c>
      <c r="B12" s="3063">
        <v>15</v>
      </c>
      <c r="C12" s="3183"/>
      <c r="D12" s="3171"/>
      <c r="E12" s="140" t="s">
        <v>2135</v>
      </c>
      <c r="F12" s="2428"/>
      <c r="G12" s="2428"/>
      <c r="H12" s="2428"/>
      <c r="I12" s="1830"/>
    </row>
    <row r="13" spans="1:12" ht="12.75">
      <c r="A13" s="3154"/>
      <c r="B13" s="3063"/>
      <c r="C13" s="3184"/>
      <c r="D13" s="3171"/>
      <c r="E13" s="140" t="s">
        <v>2136</v>
      </c>
      <c r="F13" s="2428"/>
      <c r="G13" s="2428"/>
      <c r="H13" s="2428"/>
      <c r="I13" s="1830"/>
    </row>
    <row r="14" spans="1:12" ht="12.75">
      <c r="A14" s="3154" t="s">
        <v>2137</v>
      </c>
      <c r="B14" s="3063">
        <v>30</v>
      </c>
      <c r="C14" s="3183">
        <v>55</v>
      </c>
      <c r="D14" s="3171">
        <v>45</v>
      </c>
      <c r="E14" s="140" t="s">
        <v>2138</v>
      </c>
      <c r="F14" s="2428"/>
      <c r="G14" s="2428"/>
      <c r="H14" s="2428"/>
      <c r="I14" s="1830"/>
    </row>
    <row r="15" spans="1:12" ht="12.75">
      <c r="A15" s="3154"/>
      <c r="B15" s="3063"/>
      <c r="C15" s="3185"/>
      <c r="D15" s="3171"/>
      <c r="E15" s="140" t="s">
        <v>2139</v>
      </c>
      <c r="F15" s="2428"/>
      <c r="G15" s="2428"/>
      <c r="H15" s="2428"/>
      <c r="I15" s="1830"/>
    </row>
    <row r="16" spans="1:12" ht="12.75">
      <c r="A16" s="3154"/>
      <c r="B16" s="3063"/>
      <c r="C16" s="3184"/>
      <c r="D16" s="3171"/>
      <c r="E16" s="140" t="s">
        <v>2140</v>
      </c>
      <c r="F16" s="2428"/>
      <c r="G16" s="2428"/>
      <c r="H16" s="2428"/>
      <c r="I16" s="1830"/>
    </row>
    <row r="17" spans="1:35" ht="15">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683.76</v>
      </c>
      <c r="M18" s="2427">
        <f>IF(C1="",'数据-汇总表'!E3,SUMIF(项目类型,C1,'数据-汇总表'!E17:E26))</f>
        <v>683.76</v>
      </c>
    </row>
    <row r="19" spans="1:35" ht="15">
      <c r="A19" s="2433" t="s">
        <v>2146</v>
      </c>
      <c r="B19" s="2434" t="s">
        <v>2147</v>
      </c>
      <c r="C19" s="143">
        <f ca="1">SUMIF(INDIRECT("'"&amp;C4&amp;"'"&amp;"!A:A"),'结果表-基准'!B19,INDIRECT("'"&amp;C4&amp;"'"&amp;"!B:B"))</f>
        <v>2791</v>
      </c>
      <c r="D19" s="144">
        <f ca="1">SUMIF(INDIRECT("'"&amp;D4&amp;"'"&amp;"!A:A"),'结果表-基准'!B19,INDIRECT("'"&amp;D4&amp;"'"&amp;"!B:B"))</f>
        <v>4302</v>
      </c>
      <c r="E19" s="2433" t="s">
        <v>2148</v>
      </c>
      <c r="F19" s="2434" t="s">
        <v>2147</v>
      </c>
      <c r="G19" s="145">
        <f ca="1">ROUND(C19*$C$18+D19*$D$18,0)</f>
        <v>3471</v>
      </c>
      <c r="H19" s="2435" t="s">
        <v>2149</v>
      </c>
      <c r="I19" s="138"/>
      <c r="K19" s="2427" t="s">
        <v>2150</v>
      </c>
      <c r="L19" s="2427">
        <f>IF(C1="",'数据-汇总表'!D3,SUMIF(项目类型,C1,'数据-汇总表'!D17:D26)+SUMIF(项目类型,C1,'数据-汇总表'!H17:H27))</f>
        <v>33.14</v>
      </c>
      <c r="M19" s="2427">
        <f>IF(C1="",'数据-汇总表'!D3,SUMIF(项目类型,C1,'数据-汇总表'!D17:D26))</f>
        <v>33.14</v>
      </c>
    </row>
    <row r="20" spans="1:35" ht="15">
      <c r="A20" s="2436"/>
      <c r="B20" s="1246" t="s">
        <v>2151</v>
      </c>
      <c r="C20" s="146">
        <f ca="1">SUMIF(INDIRECT("'"&amp;C4&amp;"'"&amp;"!A:A"),'结果表-基准'!B20,INDIRECT("'"&amp;C4&amp;"'"&amp;"!B:B"))</f>
        <v>40818</v>
      </c>
      <c r="D20" s="147">
        <f ca="1">SUMIF(INDIRECT("'"&amp;D4&amp;"'"&amp;"!A:A"),'结果表-基准'!B20,INDIRECT("'"&amp;D4&amp;"'"&amp;"!B:B"))</f>
        <v>62914</v>
      </c>
      <c r="E20" s="2436"/>
      <c r="F20" s="1246" t="s">
        <v>2151</v>
      </c>
      <c r="G20" s="148">
        <f ca="1">ROUND(C20*$C$18+D20*$D$18,0)</f>
        <v>50761</v>
      </c>
      <c r="H20" s="980" t="s">
        <v>2152</v>
      </c>
      <c r="I20" s="138"/>
    </row>
    <row r="21" spans="1:35" ht="15" customHeight="1" thickBot="1">
      <c r="A21" s="1000"/>
      <c r="B21" s="2437" t="s">
        <v>2153</v>
      </c>
      <c r="C21" s="789">
        <f ca="1">ROUND(C19*10000/L19,0)</f>
        <v>842185</v>
      </c>
      <c r="D21" s="790">
        <f ca="1">ROUND(D19*10000/L19,0)</f>
        <v>1298129</v>
      </c>
      <c r="E21" s="1000"/>
      <c r="F21" s="2437" t="s">
        <v>2153</v>
      </c>
      <c r="G21" s="149">
        <f ca="1">ROUND(G19*10000/L19,0)</f>
        <v>1047375</v>
      </c>
      <c r="H21" s="2438" t="s">
        <v>2152</v>
      </c>
      <c r="I21" s="138"/>
    </row>
    <row r="22" spans="1:35" ht="15" thickBot="1">
      <c r="A22" s="2280" t="s">
        <v>2154</v>
      </c>
      <c r="B22" s="2439"/>
      <c r="C22" s="2440"/>
      <c r="D22" s="791">
        <f ca="1">IF(C19&lt;D19,D19/C19-1,C19/D19-1)</f>
        <v>0.54138301683984236</v>
      </c>
      <c r="E22" s="138"/>
      <c r="F22" s="138"/>
      <c r="G22" s="138"/>
      <c r="H22" s="138"/>
      <c r="I22" s="138"/>
    </row>
    <row r="23" spans="1:35" ht="13.5" thickBot="1">
      <c r="A23" s="2417"/>
      <c r="B23" s="2417"/>
      <c r="C23" s="2417"/>
      <c r="D23" s="2417"/>
      <c r="E23" s="138"/>
      <c r="F23" s="138"/>
      <c r="G23" s="138"/>
      <c r="H23" s="138"/>
      <c r="I23" s="138"/>
    </row>
    <row r="24" spans="1:35" ht="14.25">
      <c r="A24" s="3192" t="s">
        <v>2155</v>
      </c>
      <c r="B24" s="2434" t="s">
        <v>2147</v>
      </c>
      <c r="C24" s="145">
        <f>IF(B30=0,0,D30)</f>
        <v>0</v>
      </c>
      <c r="D24" s="2441"/>
      <c r="E24" s="138"/>
      <c r="F24" s="138"/>
      <c r="G24" s="138"/>
      <c r="H24" s="138"/>
      <c r="I24" s="138"/>
    </row>
    <row r="25" spans="1:35" ht="14.25">
      <c r="A25" s="3193"/>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50761</v>
      </c>
      <c r="D32" s="2448" t="s">
        <v>3258</v>
      </c>
      <c r="E32" s="138"/>
      <c r="F32" s="138"/>
      <c r="G32" s="138"/>
      <c r="H32" s="138"/>
      <c r="I32" s="138"/>
    </row>
    <row r="33" spans="1:15" ht="15">
      <c r="A33" s="957" t="s">
        <v>2162</v>
      </c>
      <c r="B33" s="2449"/>
      <c r="C33" s="2450" t="s">
        <v>3250</v>
      </c>
      <c r="D33" s="2451" t="s">
        <v>3058</v>
      </c>
      <c r="E33" s="2452" t="s">
        <v>2163</v>
      </c>
      <c r="F33" s="2955" t="str">
        <f>IF(D32="楼面单价","取值（单价）","取值（总价）")</f>
        <v>取值（单价）</v>
      </c>
      <c r="G33" s="138"/>
      <c r="H33" s="138"/>
      <c r="I33" s="138"/>
    </row>
    <row r="34" spans="1:15" ht="15">
      <c r="A34" s="2454"/>
      <c r="B34" s="2455" t="s">
        <v>2164</v>
      </c>
      <c r="C34" s="157">
        <f ca="1">IF(C33="自定义",F34,C32-C35)</f>
        <v>44416</v>
      </c>
      <c r="D34" s="1055">
        <f ca="1">IF(C33="自定义",ROUND(C34/C32,3),IF(C33="收益比率",SUMIF(INDIRECT("'"&amp;D33&amp;"'"&amp;"!b:b"),"土地收益比率",INDIRECT("'"&amp;D33&amp;"'"&amp;"!c:c")),SUMIF(INDIRECT("'"&amp;D33&amp;"'"&amp;"!b:b"),"土地成本比率",INDIRECT("'"&amp;D33&amp;"'"&amp;"!c:c"))))</f>
        <v>0.875</v>
      </c>
      <c r="E34" s="2456" t="s">
        <v>2165</v>
      </c>
      <c r="F34" s="1735"/>
      <c r="G34" s="138"/>
      <c r="H34" s="138"/>
      <c r="I34" s="138"/>
    </row>
    <row r="35" spans="1:15" ht="15.75" thickBot="1">
      <c r="A35" s="2457"/>
      <c r="B35" s="2458" t="s">
        <v>2166</v>
      </c>
      <c r="C35" s="1440">
        <f ca="1">IF(C33="自定义",F35,ROUND(C32*D35,0))</f>
        <v>6345</v>
      </c>
      <c r="D35" s="1441">
        <f ca="1">IF(C33="自定义",ROUND(C35/C32,3),IF(C33="收益比率",SUMIF(INDIRECT("'"&amp;D33&amp;"'"&amp;"!b:b"),"建筑物收益比率",INDIRECT("'"&amp;D33&amp;"'"&amp;"!c:c")),SUMIF(INDIRECT("'"&amp;D33&amp;"'"&amp;"!b:b"),"建筑物成本比率",INDIRECT("'"&amp;D33&amp;"'"&amp;"!c:c"))))</f>
        <v>0.125</v>
      </c>
      <c r="E35" s="2459" t="s">
        <v>2167</v>
      </c>
      <c r="F35" s="163"/>
      <c r="G35" s="138"/>
      <c r="H35" s="138"/>
      <c r="I35" s="138"/>
    </row>
    <row r="36" spans="1:15" ht="15.75" thickBot="1">
      <c r="A36" s="3172" t="s">
        <v>2168</v>
      </c>
      <c r="B36" s="2460" t="s">
        <v>2169</v>
      </c>
      <c r="C36" s="154"/>
      <c r="D36" s="2461"/>
      <c r="E36" s="2462"/>
      <c r="F36" s="2463"/>
      <c r="G36" s="138"/>
      <c r="H36" s="138"/>
      <c r="I36" s="138"/>
    </row>
    <row r="37" spans="1:15" ht="15.75" thickBot="1">
      <c r="A37" s="3173"/>
      <c r="B37" s="2266" t="s">
        <v>2170</v>
      </c>
      <c r="C37" s="156"/>
      <c r="D37" s="1391"/>
      <c r="E37" s="1391"/>
      <c r="F37" s="2463"/>
      <c r="G37" s="138"/>
      <c r="H37" s="138"/>
      <c r="I37" s="138"/>
    </row>
    <row r="38" spans="1:15" ht="15.75" thickBot="1">
      <c r="A38" s="3174"/>
      <c r="B38" s="2464" t="s">
        <v>2171</v>
      </c>
      <c r="C38" s="727"/>
      <c r="D38" s="2465" t="s">
        <v>2172</v>
      </c>
      <c r="E38" s="1391"/>
      <c r="F38" s="2463"/>
      <c r="G38" s="138"/>
      <c r="H38" s="138"/>
      <c r="I38" s="138"/>
    </row>
    <row r="39" spans="1:15" ht="15">
      <c r="A39" s="2436" t="s">
        <v>2173</v>
      </c>
      <c r="B39" s="2466" t="s">
        <v>2157</v>
      </c>
      <c r="C39" s="2467" t="s">
        <v>2158</v>
      </c>
      <c r="D39" s="2467" t="s">
        <v>2176</v>
      </c>
      <c r="E39" s="2468" t="s">
        <v>2159</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89" t="s">
        <v>2182</v>
      </c>
      <c r="B45" s="3190"/>
      <c r="C45" s="3191"/>
      <c r="D45" s="164">
        <f ca="1">ROUND(H101*F45,0)</f>
        <v>3471</v>
      </c>
      <c r="E45" s="165" t="s">
        <v>2183</v>
      </c>
      <c r="F45" s="166">
        <v>1</v>
      </c>
      <c r="G45" s="167" t="s">
        <v>2184</v>
      </c>
      <c r="H45" s="138"/>
      <c r="I45" s="138"/>
      <c r="J45" s="3113" t="s">
        <v>2185</v>
      </c>
      <c r="K45" s="3113"/>
      <c r="L45" s="3113"/>
      <c r="M45" s="3113"/>
      <c r="N45" s="3113"/>
      <c r="O45" s="3113"/>
    </row>
    <row r="46" spans="1:15" ht="14.25" customHeight="1">
      <c r="A46" s="3186" t="s">
        <v>2186</v>
      </c>
      <c r="B46" s="3187"/>
      <c r="C46" s="3187"/>
      <c r="D46" s="3187"/>
      <c r="E46" s="3187"/>
      <c r="F46" s="3187"/>
      <c r="G46" s="3188"/>
      <c r="H46" s="2479"/>
      <c r="I46" s="168"/>
      <c r="J46" s="2965">
        <v>1</v>
      </c>
      <c r="K46" s="3113" t="s">
        <v>2187</v>
      </c>
      <c r="L46" s="3113"/>
      <c r="M46" s="3114"/>
      <c r="N46" s="3114"/>
      <c r="O46" s="3114"/>
    </row>
    <row r="47" spans="1:15" ht="12" customHeight="1">
      <c r="A47" s="169" t="s">
        <v>2188</v>
      </c>
      <c r="B47" s="170"/>
      <c r="C47" s="171"/>
      <c r="D47" s="172" t="s">
        <v>2189</v>
      </c>
      <c r="E47" s="24" t="s">
        <v>2190</v>
      </c>
      <c r="F47" s="173" t="s">
        <v>2191</v>
      </c>
      <c r="G47" s="174" t="s">
        <v>2192</v>
      </c>
      <c r="H47" s="2479"/>
      <c r="I47" s="168"/>
      <c r="J47" s="2965">
        <v>2</v>
      </c>
      <c r="K47" s="3113" t="s">
        <v>2193</v>
      </c>
      <c r="L47" s="3113"/>
      <c r="M47" s="3115">
        <f>'数据-取费表'!B2</f>
        <v>43973</v>
      </c>
      <c r="N47" s="3115"/>
      <c r="O47" s="3115"/>
    </row>
    <row r="48" spans="1:15" ht="25.5">
      <c r="A48" s="3176" t="s">
        <v>2194</v>
      </c>
      <c r="B48" s="3177"/>
      <c r="C48" s="3177"/>
      <c r="D48" s="140">
        <f>IF(H48="情况1",0,IF(H48="情况2",D52,IF(H48="情况3",D53,IF(H48="情况4",D54))))</f>
        <v>0</v>
      </c>
      <c r="E48" s="2959" t="str">
        <f>IF(H48="情况4","(销售额-原购置价)×税（费）率","销售额×税（费）率")</f>
        <v>销售额×税（费）率</v>
      </c>
      <c r="F48" s="175" t="str">
        <f>IF(H48="情况1","免征",'数据-取费表'!B41)</f>
        <v>免征</v>
      </c>
      <c r="G48" s="2480" t="s">
        <v>2195</v>
      </c>
      <c r="H48" s="2481" t="s">
        <v>2196</v>
      </c>
      <c r="I48" s="2479"/>
      <c r="J48" s="2965">
        <v>3</v>
      </c>
      <c r="K48" s="3113" t="s">
        <v>2197</v>
      </c>
      <c r="L48" s="3113"/>
      <c r="M48" s="3116">
        <f ca="1">H101</f>
        <v>3471</v>
      </c>
      <c r="N48" s="3116"/>
      <c r="O48" s="3116"/>
    </row>
    <row r="49" spans="1:35" ht="25.5" customHeight="1">
      <c r="A49" s="176" t="s">
        <v>2198</v>
      </c>
      <c r="B49" s="3157" t="s">
        <v>2199</v>
      </c>
      <c r="C49" s="3157"/>
      <c r="D49" s="177">
        <v>0</v>
      </c>
      <c r="E49" s="23" t="s">
        <v>2200</v>
      </c>
      <c r="F49" s="28" t="s">
        <v>34</v>
      </c>
      <c r="G49" s="3138"/>
      <c r="H49" s="138"/>
      <c r="I49" s="2482"/>
      <c r="J49" s="2965">
        <v>4</v>
      </c>
      <c r="K49" s="3113" t="str">
        <f>IF(项目基本情况!E8="房地产抵押价值","房地产抵押价值","抵押担保权已注销时的房地产抵押价值")</f>
        <v>抵押担保权已注销时的房地产抵押价值</v>
      </c>
      <c r="L49" s="3113"/>
      <c r="M49" s="3116">
        <f ca="1">IF(项目基本情况!E8="房地产抵押价值",H107,H109)</f>
        <v>3471</v>
      </c>
      <c r="N49" s="3116"/>
      <c r="O49" s="3116"/>
    </row>
    <row r="50" spans="1:35" ht="25.5" customHeight="1">
      <c r="A50" s="178"/>
      <c r="B50" s="3157" t="s">
        <v>2201</v>
      </c>
      <c r="C50" s="3157"/>
      <c r="D50" s="179"/>
      <c r="E50" s="31"/>
      <c r="F50" s="180"/>
      <c r="G50" s="3139"/>
      <c r="H50" s="138"/>
      <c r="I50" s="2482"/>
      <c r="J50" s="3113" t="s">
        <v>2202</v>
      </c>
      <c r="K50" s="3113"/>
      <c r="L50" s="3113"/>
      <c r="M50" s="3113"/>
      <c r="N50" s="3113"/>
      <c r="O50" s="3113"/>
    </row>
    <row r="51" spans="1:35" ht="12" customHeight="1">
      <c r="A51" s="181"/>
      <c r="B51" s="3157" t="s">
        <v>2203</v>
      </c>
      <c r="C51" s="3157"/>
      <c r="D51" s="182"/>
      <c r="E51" s="30"/>
      <c r="F51" s="180"/>
      <c r="G51" s="3140"/>
      <c r="H51" s="138"/>
      <c r="I51" s="2482"/>
      <c r="J51" s="2964" t="s">
        <v>2204</v>
      </c>
      <c r="K51" s="3113" t="s">
        <v>2205</v>
      </c>
      <c r="L51" s="3113"/>
      <c r="M51" s="2964" t="s">
        <v>2206</v>
      </c>
      <c r="N51" s="2964" t="s">
        <v>2207</v>
      </c>
      <c r="O51" s="2964" t="s">
        <v>2208</v>
      </c>
    </row>
    <row r="52" spans="1:35" ht="24" customHeight="1">
      <c r="A52" s="183" t="s">
        <v>2209</v>
      </c>
      <c r="B52" s="3157" t="s">
        <v>2210</v>
      </c>
      <c r="C52" s="3157"/>
      <c r="D52" s="182">
        <f ca="1">ROUND(D45*'数据-取费表'!B41/(1+'数据-取费表'!C42),0)</f>
        <v>185</v>
      </c>
      <c r="E52" s="11" t="s">
        <v>2211</v>
      </c>
      <c r="F52" s="184">
        <f>'数据-取费表'!B41</f>
        <v>5.6000000000000001E-2</v>
      </c>
      <c r="G52" s="2484"/>
      <c r="H52" s="138"/>
      <c r="I52" s="2482"/>
      <c r="J52" s="2965">
        <v>1</v>
      </c>
      <c r="K52" s="3132" t="s">
        <v>2212</v>
      </c>
      <c r="L52" s="3132"/>
      <c r="M52" s="1750">
        <f>D48</f>
        <v>0</v>
      </c>
      <c r="N52" s="2965" t="str">
        <f>E48</f>
        <v>销售额×税（费）率</v>
      </c>
      <c r="O52" s="1751" t="str">
        <f>F48</f>
        <v>免征</v>
      </c>
    </row>
    <row r="53" spans="1:35" ht="12" customHeight="1">
      <c r="A53" s="183" t="s">
        <v>2213</v>
      </c>
      <c r="B53" s="3158" t="s">
        <v>2214</v>
      </c>
      <c r="C53" s="3159"/>
      <c r="D53" s="182">
        <f ca="1">ROUND(D45*'数据-取费表'!B41/(1+'数据-取费表'!C42),0)</f>
        <v>185</v>
      </c>
      <c r="E53" s="11" t="s">
        <v>2211</v>
      </c>
      <c r="F53" s="184">
        <f>'数据-取费表'!B41</f>
        <v>5.6000000000000001E-2</v>
      </c>
      <c r="G53" s="2484"/>
      <c r="H53" s="138"/>
      <c r="I53" s="2482"/>
      <c r="J53" s="2965">
        <v>2</v>
      </c>
      <c r="K53" s="3132" t="s">
        <v>2215</v>
      </c>
      <c r="L53" s="3132"/>
      <c r="M53" s="1750">
        <f t="shared" ref="M53:O54" ca="1" si="0">D55</f>
        <v>2</v>
      </c>
      <c r="N53" s="2965" t="str">
        <f t="shared" si="0"/>
        <v>销售额×税（费）率</v>
      </c>
      <c r="O53" s="1751">
        <f t="shared" si="0"/>
        <v>5.0000000000000001E-4</v>
      </c>
    </row>
    <row r="54" spans="1:35" ht="12" customHeight="1">
      <c r="A54" s="183" t="s">
        <v>2216</v>
      </c>
      <c r="B54" s="3158" t="s">
        <v>2217</v>
      </c>
      <c r="C54" s="3159"/>
      <c r="D54" s="182">
        <f ca="1">C68</f>
        <v>185</v>
      </c>
      <c r="E54" s="30" t="s">
        <v>2218</v>
      </c>
      <c r="F54" s="184">
        <f>'数据-取费表'!B41</f>
        <v>5.6000000000000001E-2</v>
      </c>
      <c r="G54" s="2484"/>
      <c r="H54" s="2485"/>
      <c r="I54" s="2482"/>
      <c r="J54" s="2965">
        <v>3</v>
      </c>
      <c r="K54" s="3132" t="s">
        <v>2219</v>
      </c>
      <c r="L54" s="3132"/>
      <c r="M54" s="1750">
        <f t="shared" ca="1" si="0"/>
        <v>1965</v>
      </c>
      <c r="N54" s="2965" t="str">
        <f t="shared" si="0"/>
        <v>增值额×税（费）率</v>
      </c>
      <c r="O54" s="1752" t="str">
        <f t="shared" si="0"/>
        <v>——</v>
      </c>
    </row>
    <row r="55" spans="1:35" ht="24" customHeight="1">
      <c r="A55" s="3195" t="s">
        <v>2220</v>
      </c>
      <c r="B55" s="3177"/>
      <c r="C55" s="3177"/>
      <c r="D55" s="185">
        <f ca="1">IF(H55="个人住宅",0,ROUND(D45*I55,0))</f>
        <v>2</v>
      </c>
      <c r="E55" s="11" t="s">
        <v>2221</v>
      </c>
      <c r="F55" s="184">
        <f>IF(H55="正常",I55,"免征")</f>
        <v>5.0000000000000001E-4</v>
      </c>
      <c r="G55" s="2484"/>
      <c r="H55" s="2481" t="s">
        <v>2222</v>
      </c>
      <c r="I55" s="186">
        <f>'数据-取费表'!B49</f>
        <v>5.0000000000000001E-4</v>
      </c>
      <c r="J55" s="2965" t="str">
        <f>IF(H59="非个人房产","",4)</f>
        <v/>
      </c>
      <c r="K55" s="3132" t="str">
        <f>IF(H59="非个人房产","——","个人所得税")</f>
        <v>——</v>
      </c>
      <c r="L55" s="3132"/>
      <c r="M55" s="1753" t="str">
        <f>D59</f>
        <v>——</v>
      </c>
      <c r="N55" s="2966" t="str">
        <f>E59</f>
        <v>——</v>
      </c>
      <c r="O55" s="1754" t="str">
        <f>F59</f>
        <v>——</v>
      </c>
    </row>
    <row r="56" spans="1:35" ht="24.75">
      <c r="A56" s="3195" t="s">
        <v>2223</v>
      </c>
      <c r="B56" s="3177"/>
      <c r="C56" s="3177"/>
      <c r="D56" s="185">
        <f ca="1">IF(H56="个人住宅",D57,D58)</f>
        <v>1965</v>
      </c>
      <c r="E56" s="11" t="s">
        <v>2224</v>
      </c>
      <c r="F56" s="184" t="str">
        <f>IF(H56="正常",F58,"免征")</f>
        <v>——</v>
      </c>
      <c r="G56" s="2486" t="s">
        <v>2225</v>
      </c>
      <c r="H56" s="2487" t="s">
        <v>2222</v>
      </c>
      <c r="I56" s="2488"/>
      <c r="J56" s="2965"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c r="A57" s="183" t="s">
        <v>2198</v>
      </c>
      <c r="B57" s="3163" t="s">
        <v>2226</v>
      </c>
      <c r="C57" s="3164"/>
      <c r="D57" s="187">
        <v>0</v>
      </c>
      <c r="E57" s="23" t="s">
        <v>2200</v>
      </c>
      <c r="F57" s="155"/>
      <c r="G57" s="2484"/>
      <c r="H57" s="2488"/>
      <c r="I57" s="2488"/>
      <c r="J57" s="3132">
        <f>IF(AND(J55="",J56=""),4,IF(项目基本情况!K6="上海银行",'结果表-基准'!J56+1,'结果表-基准'!J55+1))</f>
        <v>4</v>
      </c>
      <c r="K57" s="3132" t="s">
        <v>2227</v>
      </c>
      <c r="L57" s="2489" t="s">
        <v>2228</v>
      </c>
      <c r="M57" s="1755"/>
      <c r="N57" s="1756">
        <f ca="1">SUMIF(M52:M56,"&lt;9e307")</f>
        <v>1967</v>
      </c>
      <c r="O57" s="2490"/>
      <c r="P57" s="1749">
        <f ca="1">N57/M49</f>
        <v>0.56669547680783638</v>
      </c>
    </row>
    <row r="58" spans="1:35" ht="24.75">
      <c r="A58" s="183" t="s">
        <v>2209</v>
      </c>
      <c r="B58" s="3163" t="s">
        <v>2229</v>
      </c>
      <c r="C58" s="3175"/>
      <c r="D58" s="185">
        <f ca="1">IF(H58="转让取得",C81,C97)</f>
        <v>1965</v>
      </c>
      <c r="E58" s="11" t="s">
        <v>2224</v>
      </c>
      <c r="F58" s="24" t="s">
        <v>34</v>
      </c>
      <c r="G58" s="2484"/>
      <c r="H58" s="2487" t="s">
        <v>2230</v>
      </c>
      <c r="I58" s="2488"/>
      <c r="J58" s="3132"/>
      <c r="K58" s="3132"/>
      <c r="L58" s="2489" t="s">
        <v>2231</v>
      </c>
      <c r="M58" s="1757"/>
      <c r="N58" s="2491" t="str">
        <f ca="1">NUMBERSTRING(INT(N57*10000),2)&amp;"元整"</f>
        <v>壹仟玖佰陆拾柒万元整</v>
      </c>
      <c r="O58" s="2492"/>
    </row>
    <row r="59" spans="1:35" ht="24.75" thickBot="1">
      <c r="A59" s="3136" t="s">
        <v>2232</v>
      </c>
      <c r="B59" s="3137"/>
      <c r="C59" s="3137"/>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34">
        <f>J57+1</f>
        <v>5</v>
      </c>
      <c r="K59" s="3132" t="s">
        <v>2234</v>
      </c>
      <c r="L59" s="2965" t="s">
        <v>2228</v>
      </c>
      <c r="M59" s="1758"/>
      <c r="N59" s="1759">
        <f ca="1">M49-N57</f>
        <v>1504</v>
      </c>
      <c r="O59" s="2494"/>
    </row>
    <row r="60" spans="1:35" ht="12" customHeight="1">
      <c r="A60" s="2495"/>
      <c r="B60" s="2417"/>
      <c r="C60" s="2417"/>
      <c r="D60" s="2417"/>
      <c r="E60" s="2165"/>
      <c r="F60" s="2488"/>
      <c r="G60" s="2488"/>
      <c r="H60" s="2496"/>
      <c r="I60" s="138"/>
      <c r="J60" s="3135"/>
      <c r="K60" s="3132"/>
      <c r="L60" s="2489" t="s">
        <v>2231</v>
      </c>
      <c r="M60" s="1757"/>
      <c r="N60" s="2491" t="str">
        <f ca="1">NUMBERSTRING(INT(N59*10000),2)&amp;"元整"</f>
        <v>壹仟伍佰零肆万元整</v>
      </c>
      <c r="O60" s="2492"/>
    </row>
    <row r="61" spans="1:35" ht="13.5" thickBot="1">
      <c r="A61" s="3194" t="s">
        <v>2235</v>
      </c>
      <c r="B61" s="3194"/>
      <c r="C61" s="3194"/>
      <c r="D61" s="3194"/>
      <c r="E61" s="3194"/>
      <c r="F61" s="2488"/>
      <c r="G61" s="2488"/>
      <c r="H61" s="2496"/>
      <c r="I61" s="138"/>
      <c r="J61" s="2965">
        <f>J59+1</f>
        <v>6</v>
      </c>
      <c r="K61" s="3132" t="s">
        <v>2236</v>
      </c>
      <c r="L61" s="3132"/>
      <c r="M61" s="1760"/>
      <c r="N61" s="1761">
        <f ca="1">ROUND(N59*10000/'数据-汇总表'!E3,0)</f>
        <v>1953</v>
      </c>
      <c r="O61" s="2497"/>
    </row>
    <row r="62" spans="1:35" ht="12.75">
      <c r="A62" s="3152" t="s">
        <v>2237</v>
      </c>
      <c r="B62" s="3153"/>
      <c r="C62" s="2962"/>
      <c r="D62" s="2962" t="s">
        <v>2238</v>
      </c>
      <c r="E62" s="192" t="s">
        <v>2239</v>
      </c>
      <c r="F62" s="2488"/>
      <c r="G62" s="2488"/>
      <c r="H62" s="2496"/>
      <c r="I62" s="138"/>
    </row>
    <row r="63" spans="1:35" ht="12.75">
      <c r="A63" s="203" t="s">
        <v>775</v>
      </c>
      <c r="B63" s="193" t="s">
        <v>2240</v>
      </c>
      <c r="C63" s="194">
        <f ca="1">ROUND((C64+C65)/(1+'数据-取费表'!C42),0)</f>
        <v>3306</v>
      </c>
      <c r="D63" s="195"/>
      <c r="E63" s="196"/>
      <c r="F63" s="2488"/>
      <c r="G63" s="2488"/>
      <c r="H63" s="2496"/>
      <c r="I63" s="138"/>
      <c r="J63" s="3121" t="s">
        <v>2241</v>
      </c>
      <c r="K63" s="2967" t="s">
        <v>2242</v>
      </c>
      <c r="L63" s="1748">
        <f ca="1">IF(M49&gt;10000,M49*0.5%,IF(AND(M49&gt;1000,M49&lt;=10000),M49*1%,IF(AND(M49&gt;100,M49&lt;=1000),M49*3%,IF(AND(M49&gt;10,M49&lt;=100),M49*5%,M49*8%))))</f>
        <v>34.71</v>
      </c>
      <c r="M63" s="24">
        <f ca="1">ROUND(L63,1)</f>
        <v>34.700000000000003</v>
      </c>
      <c r="Z63" s="2422"/>
      <c r="AI63" s="2423"/>
    </row>
    <row r="64" spans="1:35" ht="14.25" customHeight="1">
      <c r="A64" s="197" t="s">
        <v>770</v>
      </c>
      <c r="B64" s="198" t="s">
        <v>2243</v>
      </c>
      <c r="C64" s="199">
        <f ca="1">D45</f>
        <v>3471</v>
      </c>
      <c r="D64" s="200" t="s">
        <v>32</v>
      </c>
      <c r="E64" s="201"/>
      <c r="F64" s="2488"/>
      <c r="G64" s="2488"/>
      <c r="H64" s="2496"/>
      <c r="I64" s="138"/>
      <c r="J64" s="3121"/>
      <c r="K64" s="2967" t="s">
        <v>2244</v>
      </c>
      <c r="L64" s="1748">
        <f ca="1">IF(M49&gt;2000,M49*0.5%,IF(AND(M49&gt;1000,M49&lt;=2000),M49*0.6%,IF(AND(M49&gt;500,M49&lt;=1000),M49*0.7%,IF(AND(M49&gt;200,M49&lt;=500),M49*0.8%,IF(AND(M49&gt;100,M49&lt;=200),M49*0.9%,IF(AND(M49&gt;50,M49&lt;=100),M49*1%,IF(AND(M49&gt;20,M49&lt;=50),M49*1.5%,IF(AND(M49&gt;10,M49&lt;=20),M49*2%,IF(AND(M49&gt;1,M49&lt;=10),M49*2.5%)))))))))</f>
        <v>17.355</v>
      </c>
      <c r="M64" s="24">
        <f t="shared" ref="M64:M65" ca="1" si="1">ROUND(L64,1)</f>
        <v>17.399999999999999</v>
      </c>
      <c r="N64" s="138" t="s">
        <v>2245</v>
      </c>
      <c r="Z64" s="2422"/>
      <c r="AI64" s="2423"/>
    </row>
    <row r="65" spans="1:35" ht="14.25" customHeight="1">
      <c r="A65" s="197" t="s">
        <v>771</v>
      </c>
      <c r="B65" s="198" t="s">
        <v>2246</v>
      </c>
      <c r="C65" s="202"/>
      <c r="D65" s="200"/>
      <c r="E65" s="201"/>
      <c r="F65" s="2488"/>
      <c r="G65" s="2488"/>
      <c r="H65" s="2496"/>
      <c r="I65" s="138"/>
      <c r="J65" s="3121"/>
      <c r="K65" s="2967" t="s">
        <v>2247</v>
      </c>
      <c r="L65" s="1748">
        <f ca="1">IF(M49&gt;1000,M49*0.1%,IF(AND(M49&gt;500,M49&lt;=1000),M49*0.5%,IF(AND(M49&gt;50,M49&lt;=500),M49*1%,IF(AND(M49&gt;1,M49&lt;=50),M49*1.5%))))</f>
        <v>3.4710000000000001</v>
      </c>
      <c r="M65" s="24">
        <f t="shared" ca="1" si="1"/>
        <v>3.5</v>
      </c>
      <c r="N65" s="138" t="s">
        <v>2245</v>
      </c>
      <c r="Z65" s="2422"/>
      <c r="AI65" s="2423"/>
    </row>
    <row r="66" spans="1:35" ht="14.25" customHeight="1">
      <c r="A66" s="203" t="s">
        <v>772</v>
      </c>
      <c r="B66" s="204" t="s">
        <v>2248</v>
      </c>
      <c r="C66" s="205"/>
      <c r="D66" s="206" t="s">
        <v>32</v>
      </c>
      <c r="E66" s="1772" t="s">
        <v>1366</v>
      </c>
      <c r="F66" s="2488"/>
      <c r="G66" s="2488"/>
      <c r="H66" s="2496"/>
      <c r="I66" s="138"/>
      <c r="J66" s="3121"/>
      <c r="K66" s="2967" t="s">
        <v>2249</v>
      </c>
      <c r="L66" s="1748">
        <f ca="1">M49*0.5%</f>
        <v>17.355</v>
      </c>
      <c r="M66" s="24">
        <f ca="1">IF(L66&gt;0.5,0.5,ROUND(L66,0))</f>
        <v>0.5</v>
      </c>
      <c r="N66" s="138" t="s">
        <v>2250</v>
      </c>
      <c r="Z66" s="2422"/>
      <c r="AI66" s="2423"/>
    </row>
    <row r="67" spans="1:35" ht="14.25" customHeight="1">
      <c r="A67" s="203" t="s">
        <v>773</v>
      </c>
      <c r="B67" s="204" t="s">
        <v>2251</v>
      </c>
      <c r="C67" s="207">
        <f ca="1">C63-C66</f>
        <v>3306</v>
      </c>
      <c r="D67" s="200" t="s">
        <v>32</v>
      </c>
      <c r="E67" s="201"/>
      <c r="F67" s="2488"/>
      <c r="G67" s="2488"/>
      <c r="H67" s="2496"/>
      <c r="I67" s="138"/>
      <c r="J67" s="3121"/>
      <c r="K67" s="2967"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2253</v>
      </c>
      <c r="C68" s="210">
        <f ca="1">IF(C67&lt;=0,0,ROUND(C67*D68,0))</f>
        <v>185</v>
      </c>
      <c r="D68" s="211">
        <f>'数据-取费表'!B41</f>
        <v>5.6000000000000001E-2</v>
      </c>
      <c r="E68" s="212"/>
      <c r="F68" s="2488"/>
      <c r="G68" s="2488"/>
      <c r="H68" s="2496"/>
      <c r="I68" s="138"/>
      <c r="J68" s="3121"/>
      <c r="K68" s="2967" t="s">
        <v>2254</v>
      </c>
      <c r="L68" s="1748">
        <f ca="1">IF(M49&gt;10000,M49*0.5%,IF(AND(M49&gt;5000,M49&lt;=10000),M49*1%,IF(AND(M49&gt;1000,M49&lt;=5000),M49*2%,IF(AND(M49&gt;200,M49&lt;=1000),M49*3%,M49*5%))))</f>
        <v>69.42</v>
      </c>
      <c r="M68" s="24">
        <f ca="1">ROUND(L68,1)</f>
        <v>69.400000000000006</v>
      </c>
      <c r="Z68" s="2422"/>
      <c r="AI68" s="2423"/>
    </row>
    <row r="69" spans="1:35" s="2445" customFormat="1" ht="16.5" customHeight="1">
      <c r="A69" s="2499"/>
      <c r="B69" s="2500"/>
      <c r="C69" s="2501"/>
      <c r="D69" s="2502"/>
      <c r="E69" s="2503"/>
      <c r="F69" s="2165"/>
      <c r="G69" s="2165"/>
      <c r="H69" s="2164"/>
      <c r="I69" s="2417"/>
      <c r="J69" s="3121"/>
      <c r="K69" s="2967" t="s">
        <v>2255</v>
      </c>
      <c r="L69" s="2504"/>
      <c r="M69" s="24">
        <f ca="1">ROUND(SUM(M63:M68),0)</f>
        <v>128</v>
      </c>
      <c r="N69" s="1749">
        <f ca="1">M69/M49</f>
        <v>3.6876980697205415E-2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2256</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2237</v>
      </c>
      <c r="B71" s="3153"/>
      <c r="C71" s="2962"/>
      <c r="D71" s="2962"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3306</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20</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58" t="s">
        <v>2265</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2968" t="s">
        <v>2267</v>
      </c>
      <c r="F77" s="224"/>
      <c r="G77" s="2512" t="s">
        <v>2268</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20</v>
      </c>
      <c r="D78" s="226">
        <f>'数据-取费表'!B43</f>
        <v>6.000000000000001E-3</v>
      </c>
      <c r="E78" s="3149" t="s">
        <v>2270</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2271</v>
      </c>
      <c r="C79" s="207">
        <f ca="1">C72-C73</f>
        <v>3286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164.3</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1965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2274</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2237</v>
      </c>
      <c r="B84" s="3153"/>
      <c r="C84" s="2962"/>
      <c r="D84" s="2962"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3306</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20</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2958"/>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49" t="s">
        <v>2283</v>
      </c>
      <c r="F91" s="3150"/>
      <c r="G91" s="3150"/>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49" t="s">
        <v>2287</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20</v>
      </c>
      <c r="D93" s="226">
        <f>'数据-取费表'!B43</f>
        <v>6.000000000000001E-3</v>
      </c>
      <c r="E93" s="3149" t="s">
        <v>2270</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96" t="s">
        <v>2291</v>
      </c>
      <c r="F94" s="3197"/>
      <c r="G94" s="3197"/>
      <c r="H94" s="31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2271</v>
      </c>
      <c r="C95" s="207">
        <f ca="1">ROUND(C85-C86,0)</f>
        <v>3286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164.3</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1965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33"/>
      <c r="E100" s="3106" t="s">
        <v>2294</v>
      </c>
      <c r="F100" s="3106"/>
      <c r="G100" s="3106"/>
      <c r="H100" s="3133"/>
      <c r="I100" s="138"/>
    </row>
    <row r="101" spans="1:35" ht="18.75" customHeight="1">
      <c r="A101" s="3141" t="s">
        <v>2295</v>
      </c>
      <c r="B101" s="3142"/>
      <c r="C101" s="736" t="str">
        <f>C4</f>
        <v>比较法-办公</v>
      </c>
      <c r="D101" s="737" t="str">
        <f>D4</f>
        <v>收益法 (元)</v>
      </c>
      <c r="E101" s="3117" t="s">
        <v>2296</v>
      </c>
      <c r="F101" s="3118"/>
      <c r="G101" s="2519" t="s">
        <v>2297</v>
      </c>
      <c r="H101" s="1045">
        <f ca="1">H118</f>
        <v>3471</v>
      </c>
      <c r="I101" s="138"/>
    </row>
    <row r="102" spans="1:35" ht="18.75" customHeight="1">
      <c r="A102" s="3143" t="s">
        <v>2298</v>
      </c>
      <c r="B102" s="2519" t="s">
        <v>2297</v>
      </c>
      <c r="C102" s="736">
        <f ca="1">C19</f>
        <v>2791</v>
      </c>
      <c r="D102" s="737">
        <f ca="1">D19</f>
        <v>4302</v>
      </c>
      <c r="E102" s="3117"/>
      <c r="F102" s="3118"/>
      <c r="G102" s="2519" t="s">
        <v>2299</v>
      </c>
      <c r="H102" s="371">
        <f ca="1">I118</f>
        <v>50761</v>
      </c>
      <c r="I102" s="138"/>
    </row>
    <row r="103" spans="1:35" ht="42.75" customHeight="1">
      <c r="A103" s="3143"/>
      <c r="B103" s="2519" t="s">
        <v>2299</v>
      </c>
      <c r="C103" s="738">
        <f ca="1">C20</f>
        <v>40818</v>
      </c>
      <c r="D103" s="739">
        <f ca="1">D20</f>
        <v>62914</v>
      </c>
      <c r="E103" s="3111" t="s">
        <v>2300</v>
      </c>
      <c r="F103" s="3112"/>
      <c r="G103" s="2520" t="s">
        <v>2301</v>
      </c>
      <c r="H103" s="1045">
        <f>IF(D36="正常操作",H104+H105+H106,H105+H106)</f>
        <v>0</v>
      </c>
      <c r="I103" s="138"/>
      <c r="K103" s="795">
        <f ca="1">C104/'比较法-办公'!D3*10000</f>
        <v>50763.425763425766</v>
      </c>
    </row>
    <row r="104" spans="1:35" ht="18.75" customHeight="1">
      <c r="A104" s="3143" t="s">
        <v>2302</v>
      </c>
      <c r="B104" s="2521" t="s">
        <v>2297</v>
      </c>
      <c r="C104" s="740">
        <f ca="1">H118</f>
        <v>3471</v>
      </c>
      <c r="D104" s="741"/>
      <c r="E104" s="2266" t="s">
        <v>2303</v>
      </c>
      <c r="F104" s="2257"/>
      <c r="G104" s="2520" t="s">
        <v>2301</v>
      </c>
      <c r="H104" s="1046">
        <f>IF(D36="同一抵押权人同一抵押物续贷",C36&amp;"（未扣减，详见特别提示）",C36)</f>
        <v>0</v>
      </c>
      <c r="I104" s="138"/>
    </row>
    <row r="105" spans="1:35" ht="18.75" customHeight="1" thickBot="1">
      <c r="A105" s="3155"/>
      <c r="B105" s="2522" t="s">
        <v>2299</v>
      </c>
      <c r="C105" s="742">
        <f ca="1">I118</f>
        <v>50761</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44" t="str">
        <f>IF(项目基本情况!E8="已注销","——","3.房地产抵押价值")</f>
        <v>3.房地产抵押价值</v>
      </c>
      <c r="F107" s="3118"/>
      <c r="G107" s="2519" t="s">
        <v>2297</v>
      </c>
      <c r="H107" s="1045">
        <f ca="1">IF(E107="——","——",H101-H103)</f>
        <v>3471</v>
      </c>
      <c r="I107" s="138"/>
    </row>
    <row r="108" spans="1:35" ht="18.75" customHeight="1">
      <c r="A108" s="138"/>
      <c r="B108" s="138"/>
      <c r="C108" s="138"/>
      <c r="D108" s="138"/>
      <c r="E108" s="3144"/>
      <c r="F108" s="3118"/>
      <c r="G108" s="2519" t="s">
        <v>2299</v>
      </c>
      <c r="H108" s="371">
        <f ca="1">ROUND(H107*10000/'数据-汇总表'!E3,0)</f>
        <v>4508</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4.抵押担保权已注销时的房地产抵押价值</v>
      </c>
      <c r="F109" s="3118"/>
      <c r="G109" s="2519" t="s">
        <v>2297</v>
      </c>
      <c r="H109" s="348">
        <f ca="1">IF(E109="——","——",H101-H105-H106)</f>
        <v>3471</v>
      </c>
      <c r="I109" s="138"/>
    </row>
    <row r="110" spans="1:35" ht="18.75" customHeight="1">
      <c r="A110" s="138"/>
      <c r="B110" s="138"/>
      <c r="C110" s="138"/>
      <c r="D110" s="138"/>
      <c r="E110" s="3144"/>
      <c r="F110" s="3118"/>
      <c r="G110" s="2519" t="s">
        <v>2299</v>
      </c>
      <c r="H110" s="371">
        <f ca="1">IF(H109="——","——",ROUND(H109*10000/'数据-汇总表'!E3,0))</f>
        <v>4508</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2297</v>
      </c>
      <c r="H111" s="1045" t="str">
        <f>IF(E111="——","——",N59)</f>
        <v>——</v>
      </c>
      <c r="I111" s="138"/>
    </row>
    <row r="112" spans="1:35" ht="18.75" customHeight="1" thickBot="1">
      <c r="A112" s="138"/>
      <c r="B112" s="138"/>
      <c r="C112" s="138"/>
      <c r="D112" s="138"/>
      <c r="E112" s="3147"/>
      <c r="F112" s="3148"/>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8" t="s">
        <v>2307</v>
      </c>
      <c r="B115" s="3169"/>
      <c r="C115" s="3169"/>
      <c r="D115" s="3169"/>
      <c r="E115" s="3169"/>
      <c r="F115" s="3169"/>
      <c r="G115" s="3169"/>
      <c r="H115" s="3169"/>
      <c r="I115" s="3170"/>
    </row>
    <row r="116" spans="1:11" ht="27" customHeight="1">
      <c r="A116" s="3063" t="s">
        <v>2308</v>
      </c>
      <c r="B116" s="3073" t="s">
        <v>2309</v>
      </c>
      <c r="C116" s="3073" t="s">
        <v>2310</v>
      </c>
      <c r="D116" s="3075" t="s">
        <v>2311</v>
      </c>
      <c r="E116" s="3076"/>
      <c r="F116" s="3077" t="s">
        <v>2312</v>
      </c>
      <c r="G116" s="3077"/>
      <c r="H116" s="3063" t="s">
        <v>2313</v>
      </c>
      <c r="I116" s="3063"/>
    </row>
    <row r="117" spans="1:11" ht="18.75" customHeight="1">
      <c r="A117" s="3063"/>
      <c r="B117" s="3074"/>
      <c r="C117" s="3074"/>
      <c r="D117" s="2954" t="s">
        <v>2314</v>
      </c>
      <c r="E117" s="2954" t="s">
        <v>2315</v>
      </c>
      <c r="F117" s="2954" t="s">
        <v>2314</v>
      </c>
      <c r="G117" s="2954" t="s">
        <v>2316</v>
      </c>
      <c r="H117" s="2954" t="s">
        <v>2314</v>
      </c>
      <c r="I117" s="2954" t="s">
        <v>2316</v>
      </c>
    </row>
    <row r="118" spans="1:11" ht="24.75" customHeight="1">
      <c r="A118" s="2525" t="str">
        <f>项目基本情况!S2</f>
        <v>北京市出让国有建设用地使用权及在建建筑物房地产</v>
      </c>
      <c r="B118" s="2954">
        <f>M18</f>
        <v>683.76</v>
      </c>
      <c r="C118" s="2954">
        <f>M19</f>
        <v>33.14</v>
      </c>
      <c r="D118" s="2954">
        <f ca="1">ROUND(IF(D32="总价",C34,E118*B118/10000),0)</f>
        <v>3037</v>
      </c>
      <c r="E118" s="2954">
        <f ca="1">ROUND(IF(C33="自定义",IF(D32="楼面单价",C34,D118*10000/B118),I118-G118),0)</f>
        <v>44416</v>
      </c>
      <c r="F118" s="2954">
        <f ca="1">ROUND(IF(D32="总价",C35,G118*B118/10000),0)</f>
        <v>434</v>
      </c>
      <c r="G118" s="2954">
        <f ca="1">ROUND(IF(D32="楼面单价",C35,F118*10000/B118),0)</f>
        <v>6345</v>
      </c>
      <c r="H118" s="2954">
        <f ca="1">ROUND(IF(D32="总价",C32,I118*B118/10000),0)</f>
        <v>3471</v>
      </c>
      <c r="I118" s="2954">
        <f ca="1">ROUND(IF(D32="楼面单价",C32,H118*10000/B118),0)</f>
        <v>50761</v>
      </c>
    </row>
    <row r="119" spans="1:11" ht="18.75" customHeight="1">
      <c r="A119" s="3063" t="s">
        <v>2317</v>
      </c>
      <c r="B119" s="3063"/>
      <c r="C119" s="3063"/>
      <c r="D119" s="3127" t="str">
        <f ca="1">NUMBERSTRING(INT(D118*10000),2)&amp;"元整"</f>
        <v>叁仟零叁拾柒万元整</v>
      </c>
      <c r="E119" s="3128"/>
      <c r="F119" s="3127" t="str">
        <f ca="1">NUMBERSTRING(INT(F118*10000),2)&amp;"元整"</f>
        <v>肆佰叁拾肆万元整</v>
      </c>
      <c r="G119" s="3128"/>
      <c r="H119" s="3127" t="str">
        <f ca="1">NUMBERSTRING(INT(H118*10000),2)&amp;"元整"</f>
        <v>叁仟肆佰柒拾壹万元整</v>
      </c>
      <c r="I119" s="312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2" t="str">
        <f>IF(D120=0,"故，本次评估不存在"&amp;A120,"故，本次评估"&amp;A120&amp;"为人民币"&amp;D120&amp;"万元整。")</f>
        <v>故，本次评估不存在估价师知悉的法定优先受偿款</v>
      </c>
    </row>
    <row r="121" spans="1:11" ht="18.75" customHeight="1">
      <c r="A121" s="3165" t="s">
        <v>2317</v>
      </c>
      <c r="B121" s="3166"/>
      <c r="C121" s="3167"/>
      <c r="D121" s="3127" t="str">
        <f>IF(D120=0,"零元整",NUMBERSTRING(INT(D120*10000),2)&amp;"元整")</f>
        <v>零元整</v>
      </c>
      <c r="E121" s="3129"/>
      <c r="F121" s="3129"/>
      <c r="G121" s="3129"/>
      <c r="H121" s="3129"/>
      <c r="I121" s="3128"/>
    </row>
    <row r="122" spans="1:11" ht="18.75" customHeight="1">
      <c r="A122" s="3131" t="str">
        <f>IF(项目基本情况!B9="房地产市场价值","",MID(E107,3,LEN(E107)-2))</f>
        <v>房地产抵押价值</v>
      </c>
      <c r="B122" s="3131"/>
      <c r="C122" s="3131"/>
      <c r="D122" s="3124">
        <f ca="1">H107</f>
        <v>3471</v>
      </c>
      <c r="E122" s="3125"/>
      <c r="F122" s="3125"/>
      <c r="G122" s="3125"/>
      <c r="H122" s="3125"/>
      <c r="I122" s="3126"/>
    </row>
    <row r="123" spans="1:11" ht="18.75" customHeight="1">
      <c r="A123" s="3063" t="s">
        <v>2317</v>
      </c>
      <c r="B123" s="3063"/>
      <c r="C123" s="3063"/>
      <c r="D123" s="3127" t="str">
        <f ca="1">NUMBERSTRING(INT(D122*10000),2)&amp;"元整"</f>
        <v>叁仟肆佰柒拾壹万元整</v>
      </c>
      <c r="E123" s="3129"/>
      <c r="F123" s="3129"/>
      <c r="G123" s="3129"/>
      <c r="H123" s="3129"/>
      <c r="I123" s="3128"/>
    </row>
    <row r="124" spans="1:11" ht="18.75" customHeight="1">
      <c r="A124" s="3131" t="str">
        <f>IF(项目基本情况!B9="房地产市场价值","",MID(E109,3,LEN(E109)-2))</f>
        <v>抵押担保权已注销时的房地产抵押价值</v>
      </c>
      <c r="B124" s="3131"/>
      <c r="C124" s="3131"/>
      <c r="D124" s="3124">
        <f ca="1">H109</f>
        <v>3471</v>
      </c>
      <c r="E124" s="3125"/>
      <c r="F124" s="3125"/>
      <c r="G124" s="3125"/>
      <c r="H124" s="3125"/>
      <c r="I124" s="3126"/>
    </row>
    <row r="125" spans="1:11" ht="18.75" customHeight="1">
      <c r="A125" s="3063" t="s">
        <v>2317</v>
      </c>
      <c r="B125" s="3063"/>
      <c r="C125" s="3063"/>
      <c r="D125" s="3127" t="str">
        <f ca="1">NUMBERSTRING(INT(D124*10000),2)&amp;"元整"</f>
        <v>叁仟肆佰柒拾壹万元整</v>
      </c>
      <c r="E125" s="3129"/>
      <c r="F125" s="3129"/>
      <c r="G125" s="3129"/>
      <c r="H125" s="3129"/>
      <c r="I125" s="3128"/>
    </row>
    <row r="126" spans="1:11" ht="18.75" customHeight="1">
      <c r="A126" s="3131" t="str">
        <f>IF(项目基本情况!B9="房地产市场价值","",MID(E111,3,LEN(E111)-2))</f>
        <v/>
      </c>
      <c r="B126" s="3131"/>
      <c r="C126" s="3131"/>
      <c r="D126" s="3124" t="str">
        <f>H111</f>
        <v>——</v>
      </c>
      <c r="E126" s="3125"/>
      <c r="F126" s="3125"/>
      <c r="G126" s="3125"/>
      <c r="H126" s="3125"/>
      <c r="I126" s="3126"/>
    </row>
    <row r="127" spans="1:11" ht="18.75" customHeight="1">
      <c r="A127" s="3063" t="s">
        <v>2317</v>
      </c>
      <c r="B127" s="3063"/>
      <c r="C127" s="3063"/>
      <c r="D127" s="3127" t="e">
        <f>NUMBERSTRING(INT(D126*10000),2)&amp;"元整"</f>
        <v>#VALUE!</v>
      </c>
      <c r="E127" s="3129"/>
      <c r="F127" s="3129"/>
      <c r="G127" s="3129"/>
      <c r="H127" s="3129"/>
      <c r="I127" s="3128"/>
    </row>
    <row r="128" spans="1:11" ht="21.75" customHeight="1">
      <c r="A128" s="3130" t="s">
        <v>2318</v>
      </c>
      <c r="B128" s="3130"/>
      <c r="C128" s="3130"/>
      <c r="D128" s="3130"/>
      <c r="E128" s="3130"/>
      <c r="F128" s="3130"/>
      <c r="G128" s="3130"/>
      <c r="H128" s="3130"/>
      <c r="I128" s="3130"/>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2526</v>
      </c>
      <c r="B1" s="2563"/>
      <c r="C1" s="2563"/>
      <c r="D1" s="2563"/>
      <c r="E1" s="2564"/>
    </row>
    <row r="2" spans="1:6" ht="15.75">
      <c r="A2" s="2565" t="s">
        <v>2327</v>
      </c>
      <c r="B2" s="2566">
        <f ca="1">SUMIF(B6:B13,"&lt;&gt;#ref!",B6:B13)</f>
        <v>4302</v>
      </c>
      <c r="C2" s="2567" t="s">
        <v>2519</v>
      </c>
      <c r="D2" s="2568" t="s">
        <v>2520</v>
      </c>
      <c r="E2" s="2569">
        <f>SUM(E6:E13)</f>
        <v>683.76</v>
      </c>
    </row>
    <row r="3" spans="1:6" ht="15.75">
      <c r="A3" s="2565" t="s">
        <v>1389</v>
      </c>
      <c r="B3" s="2566">
        <f ca="1">ROUND(B2*10000/E2,0)</f>
        <v>62917</v>
      </c>
      <c r="C3" s="2567" t="s">
        <v>2527</v>
      </c>
      <c r="D3" s="2570"/>
      <c r="E3" s="2571"/>
    </row>
    <row r="4" spans="1:6" ht="15.75">
      <c r="A4" s="2572"/>
      <c r="B4" s="2570"/>
      <c r="C4" s="2570"/>
      <c r="D4" s="2570"/>
      <c r="E4" s="2571"/>
    </row>
    <row r="5" spans="1:6" ht="15">
      <c r="A5" s="2573" t="s">
        <v>2521</v>
      </c>
      <c r="B5" s="3207" t="s">
        <v>2522</v>
      </c>
      <c r="C5" s="3207"/>
      <c r="D5" s="2574"/>
      <c r="E5" s="2575" t="s">
        <v>2523</v>
      </c>
      <c r="F5" s="2576" t="s">
        <v>2524</v>
      </c>
    </row>
    <row r="6" spans="1:6">
      <c r="A6" s="2577" t="str">
        <f>'数据-取费表'!AN6</f>
        <v>收益法 (元)</v>
      </c>
      <c r="B6" s="2576">
        <f ca="1">IF(F6="是",'数据-取费表'!AO6,0)</f>
        <v>4302</v>
      </c>
      <c r="C6" s="2567" t="s">
        <v>2519</v>
      </c>
      <c r="D6" s="2570"/>
      <c r="E6" s="2578">
        <f>IF(OR(A6=0,F6="否"),0,'数据-取费表'!K6+'数据-取费表'!S6)</f>
        <v>683.76</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1072</v>
      </c>
      <c r="B1" s="3209"/>
      <c r="C1" s="3210"/>
      <c r="D1" s="3211">
        <f>SUM(I10,I15,I20,I21,I23)</f>
        <v>0</v>
      </c>
      <c r="E1" s="3211"/>
      <c r="F1" s="3211"/>
      <c r="G1" s="3211"/>
      <c r="H1" s="3211"/>
      <c r="I1" s="3212"/>
    </row>
    <row r="2" spans="1:9">
      <c r="A2" s="3213" t="s">
        <v>1073</v>
      </c>
      <c r="B2" s="3214" t="s">
        <v>1074</v>
      </c>
      <c r="C2" s="3214"/>
      <c r="D2" s="1300" t="s">
        <v>1075</v>
      </c>
      <c r="E2" s="1300" t="s">
        <v>1076</v>
      </c>
      <c r="F2" s="1300" t="s">
        <v>1077</v>
      </c>
      <c r="G2" s="1300" t="s">
        <v>1078</v>
      </c>
      <c r="H2" s="1300" t="s">
        <v>1079</v>
      </c>
      <c r="I2" s="1301" t="s">
        <v>1080</v>
      </c>
    </row>
    <row r="3" spans="1:9">
      <c r="A3" s="3213"/>
      <c r="B3" s="3214" t="s">
        <v>1081</v>
      </c>
      <c r="C3" s="3214"/>
      <c r="D3" s="1302"/>
      <c r="E3" s="1300"/>
      <c r="F3" s="1303"/>
      <c r="G3" s="1303"/>
      <c r="H3" s="1304"/>
      <c r="I3" s="1305">
        <f>ROUND(D3*E3*F3*G3*H3/10000,0)</f>
        <v>0</v>
      </c>
    </row>
    <row r="4" spans="1:9">
      <c r="A4" s="3213"/>
      <c r="B4" s="3214" t="s">
        <v>1082</v>
      </c>
      <c r="C4" s="3214"/>
      <c r="D4" s="1302"/>
      <c r="E4" s="1300"/>
      <c r="F4" s="1303"/>
      <c r="G4" s="1303"/>
      <c r="H4" s="1304"/>
      <c r="I4" s="1305">
        <f t="shared" ref="I4:I9" si="0">ROUND(D4*E4*F4*G4*H4/10000,0)</f>
        <v>0</v>
      </c>
    </row>
    <row r="5" spans="1:9">
      <c r="A5" s="3213"/>
      <c r="B5" s="3214" t="s">
        <v>1083</v>
      </c>
      <c r="C5" s="3214"/>
      <c r="D5" s="1302"/>
      <c r="E5" s="1300"/>
      <c r="F5" s="1303"/>
      <c r="G5" s="1303"/>
      <c r="H5" s="1304"/>
      <c r="I5" s="1305">
        <f t="shared" si="0"/>
        <v>0</v>
      </c>
    </row>
    <row r="6" spans="1:9">
      <c r="A6" s="3213"/>
      <c r="B6" s="3214" t="s">
        <v>1084</v>
      </c>
      <c r="C6" s="3214"/>
      <c r="D6" s="1302"/>
      <c r="E6" s="1300"/>
      <c r="F6" s="1303"/>
      <c r="G6" s="1303"/>
      <c r="H6" s="1304"/>
      <c r="I6" s="1305">
        <f t="shared" si="0"/>
        <v>0</v>
      </c>
    </row>
    <row r="7" spans="1:9">
      <c r="A7" s="3213"/>
      <c r="B7" s="3214" t="s">
        <v>1085</v>
      </c>
      <c r="C7" s="3214"/>
      <c r="D7" s="1302"/>
      <c r="E7" s="1300"/>
      <c r="F7" s="1303"/>
      <c r="G7" s="1303"/>
      <c r="H7" s="1304"/>
      <c r="I7" s="1305">
        <f t="shared" si="0"/>
        <v>0</v>
      </c>
    </row>
    <row r="8" spans="1:9">
      <c r="A8" s="3213"/>
      <c r="B8" s="3214" t="s">
        <v>1086</v>
      </c>
      <c r="C8" s="3214"/>
      <c r="D8" s="1302"/>
      <c r="E8" s="1300"/>
      <c r="F8" s="1303"/>
      <c r="G8" s="1303"/>
      <c r="H8" s="1304"/>
      <c r="I8" s="1305">
        <f t="shared" si="0"/>
        <v>0</v>
      </c>
    </row>
    <row r="9" spans="1:9">
      <c r="A9" s="3213"/>
      <c r="B9" s="3214" t="s">
        <v>1087</v>
      </c>
      <c r="C9" s="3214"/>
      <c r="D9" s="1302"/>
      <c r="E9" s="1300"/>
      <c r="F9" s="1303"/>
      <c r="G9" s="1303"/>
      <c r="H9" s="1304"/>
      <c r="I9" s="1305">
        <f t="shared" si="0"/>
        <v>0</v>
      </c>
    </row>
    <row r="10" spans="1:9">
      <c r="A10" s="3213"/>
      <c r="B10" s="3215" t="s">
        <v>1088</v>
      </c>
      <c r="C10" s="3215"/>
      <c r="D10" s="1306"/>
      <c r="E10" s="1306" t="e">
        <f>ROUND(D1*10000/D10/H9,0)</f>
        <v>#DIV/0!</v>
      </c>
      <c r="F10" s="1307"/>
      <c r="G10" s="1307"/>
      <c r="H10" s="1308"/>
      <c r="I10" s="1309">
        <f>SUM(I3:I9)</f>
        <v>0</v>
      </c>
    </row>
    <row r="11" spans="1:9" ht="14.25">
      <c r="A11" s="3213" t="s">
        <v>1089</v>
      </c>
      <c r="B11" s="3214" t="s">
        <v>1090</v>
      </c>
      <c r="C11" s="3214"/>
      <c r="D11" s="1302" t="s">
        <v>1091</v>
      </c>
      <c r="E11" s="1302" t="s">
        <v>1092</v>
      </c>
      <c r="F11" s="1303" t="s">
        <v>1093</v>
      </c>
      <c r="G11" s="1303" t="s">
        <v>1079</v>
      </c>
      <c r="H11" s="1310" t="s">
        <v>1094</v>
      </c>
      <c r="I11" s="1301" t="s">
        <v>1080</v>
      </c>
    </row>
    <row r="12" spans="1:9">
      <c r="A12" s="3213"/>
      <c r="B12" s="3214" t="s">
        <v>1095</v>
      </c>
      <c r="C12" s="3214"/>
      <c r="D12" s="1302"/>
      <c r="E12" s="1302"/>
      <c r="F12" s="1303"/>
      <c r="G12" s="1304"/>
      <c r="H12" s="1311"/>
      <c r="I12" s="1301">
        <f>ROUND(D12*E12*F12*G12/10000,0)</f>
        <v>0</v>
      </c>
    </row>
    <row r="13" spans="1:9">
      <c r="A13" s="3213"/>
      <c r="B13" s="3214" t="s">
        <v>1096</v>
      </c>
      <c r="C13" s="3214"/>
      <c r="D13" s="1302"/>
      <c r="E13" s="1302"/>
      <c r="F13" s="1303"/>
      <c r="G13" s="1304"/>
      <c r="H13" s="1311"/>
      <c r="I13" s="1301">
        <f>ROUND(D13*E13*F13*G13/10000,0)</f>
        <v>0</v>
      </c>
    </row>
    <row r="14" spans="1:9">
      <c r="A14" s="3213"/>
      <c r="B14" s="3214" t="s">
        <v>1097</v>
      </c>
      <c r="C14" s="3214"/>
      <c r="D14" s="1302"/>
      <c r="E14" s="1302"/>
      <c r="F14" s="1303"/>
      <c r="G14" s="1304"/>
      <c r="H14" s="1311"/>
      <c r="I14" s="1301">
        <f>ROUND(D14*E14*F14*G14/10000,0)</f>
        <v>0</v>
      </c>
    </row>
    <row r="15" spans="1:9">
      <c r="A15" s="3213"/>
      <c r="B15" s="3215" t="s">
        <v>1088</v>
      </c>
      <c r="C15" s="3215"/>
      <c r="D15" s="1306"/>
      <c r="E15" s="1306">
        <f>SUM(E12:E14)</f>
        <v>0</v>
      </c>
      <c r="F15" s="1307"/>
      <c r="G15" s="1304"/>
      <c r="H15" s="1311"/>
      <c r="I15" s="1312">
        <f>SUM(I12:I14)</f>
        <v>0</v>
      </c>
    </row>
    <row r="16" spans="1:9" ht="24">
      <c r="A16" s="3213" t="s">
        <v>1098</v>
      </c>
      <c r="B16" s="3214" t="s">
        <v>1099</v>
      </c>
      <c r="C16" s="3214"/>
      <c r="D16" s="1302" t="s">
        <v>1075</v>
      </c>
      <c r="E16" s="1313" t="s">
        <v>1100</v>
      </c>
      <c r="F16" s="1303" t="s">
        <v>1101</v>
      </c>
      <c r="G16" s="1304" t="s">
        <v>1079</v>
      </c>
      <c r="H16" s="1310" t="s">
        <v>1094</v>
      </c>
      <c r="I16" s="1301" t="s">
        <v>1080</v>
      </c>
    </row>
    <row r="17" spans="1:9" ht="14.25">
      <c r="A17" s="3213"/>
      <c r="B17" s="3214" t="s">
        <v>1102</v>
      </c>
      <c r="C17" s="3214"/>
      <c r="D17" s="1302"/>
      <c r="E17" s="1302"/>
      <c r="F17" s="1303"/>
      <c r="G17" s="1304"/>
      <c r="H17" s="1314"/>
      <c r="I17" s="1315">
        <f>ROUND(D17*E17*F17*G17/10000,0)</f>
        <v>0</v>
      </c>
    </row>
    <row r="18" spans="1:9" ht="14.25">
      <c r="A18" s="3213"/>
      <c r="B18" s="3214" t="s">
        <v>1103</v>
      </c>
      <c r="C18" s="3214"/>
      <c r="D18" s="1302"/>
      <c r="E18" s="1302"/>
      <c r="F18" s="1303"/>
      <c r="G18" s="1304"/>
      <c r="H18" s="1314"/>
      <c r="I18" s="1315">
        <f>ROUND(D18*E18*F18*G18/10000,0)</f>
        <v>0</v>
      </c>
    </row>
    <row r="19" spans="1:9" ht="14.25">
      <c r="A19" s="3213"/>
      <c r="B19" s="3214" t="s">
        <v>1104</v>
      </c>
      <c r="C19" s="3214"/>
      <c r="D19" s="1302"/>
      <c r="E19" s="1302"/>
      <c r="F19" s="1303"/>
      <c r="G19" s="1304"/>
      <c r="H19" s="1314"/>
      <c r="I19" s="1315">
        <f>ROUND(D19*E19*F19*G19/10000,0)</f>
        <v>0</v>
      </c>
    </row>
    <row r="20" spans="1:9">
      <c r="A20" s="3213"/>
      <c r="B20" s="3215" t="s">
        <v>1088</v>
      </c>
      <c r="C20" s="3215"/>
      <c r="D20" s="1306">
        <f>SUM(D17:D19)</f>
        <v>0</v>
      </c>
      <c r="E20" s="1306"/>
      <c r="F20" s="1307"/>
      <c r="G20" s="1304"/>
      <c r="H20" s="1311"/>
      <c r="I20" s="1312">
        <f>SUM(I17:I19)</f>
        <v>0</v>
      </c>
    </row>
    <row r="21" spans="1:9">
      <c r="A21" s="3213" t="s">
        <v>1105</v>
      </c>
      <c r="B21" s="3217"/>
      <c r="C21" s="3217"/>
      <c r="D21" s="3217"/>
      <c r="E21" s="3217"/>
      <c r="F21" s="3217"/>
      <c r="G21" s="3217"/>
      <c r="H21" s="1764">
        <v>0.1</v>
      </c>
      <c r="I21" s="1309">
        <f>ROUND(I10*H21,0)</f>
        <v>0</v>
      </c>
    </row>
    <row r="22" spans="1:9" ht="14.25">
      <c r="A22" s="3218" t="s">
        <v>1106</v>
      </c>
      <c r="B22" s="3219"/>
      <c r="C22" s="3220"/>
      <c r="D22" s="1316" t="s">
        <v>1107</v>
      </c>
      <c r="E22" s="1316" t="s">
        <v>1108</v>
      </c>
      <c r="F22" s="1317" t="s">
        <v>1109</v>
      </c>
      <c r="G22" s="1317" t="s">
        <v>1110</v>
      </c>
      <c r="H22" s="1310" t="s">
        <v>1111</v>
      </c>
      <c r="I22" s="1301" t="s">
        <v>1112</v>
      </c>
    </row>
    <row r="23" spans="1:9" ht="14.25" thickBot="1">
      <c r="A23" s="3221"/>
      <c r="B23" s="3222"/>
      <c r="C23" s="3223"/>
      <c r="D23" s="1318"/>
      <c r="E23" s="1318"/>
      <c r="F23" s="1318"/>
      <c r="G23" s="1319"/>
      <c r="H23" s="1320"/>
      <c r="I23" s="1321">
        <f>ROUND(E23*D23*F23*(1-G23)/10000,0)</f>
        <v>0</v>
      </c>
    </row>
    <row r="26" spans="1:9">
      <c r="A26" s="1322" t="s">
        <v>1113</v>
      </c>
      <c r="B26" s="1322"/>
      <c r="C26" s="1322"/>
      <c r="D26" s="1322"/>
      <c r="E26" s="3224">
        <f>C27-C30-C31-C32</f>
        <v>0</v>
      </c>
      <c r="F26" s="3224"/>
      <c r="G26" s="3224"/>
      <c r="H26" s="1736" t="s">
        <v>1335</v>
      </c>
    </row>
    <row r="27" spans="1:9">
      <c r="A27" s="1323">
        <v>1</v>
      </c>
      <c r="B27" s="1324" t="s">
        <v>1114</v>
      </c>
      <c r="C27" s="1324">
        <f>C28+C29</f>
        <v>0</v>
      </c>
      <c r="D27" s="1324"/>
      <c r="E27" s="3225"/>
      <c r="F27" s="3225"/>
      <c r="G27" s="3225"/>
    </row>
    <row r="28" spans="1:9">
      <c r="A28" s="1325" t="s">
        <v>1115</v>
      </c>
      <c r="B28" s="1324" t="s">
        <v>1116</v>
      </c>
      <c r="C28" s="1324"/>
      <c r="D28" s="1324"/>
      <c r="E28" s="3225"/>
      <c r="F28" s="3225"/>
      <c r="G28" s="322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6"/>
      <c r="F32" s="3216"/>
      <c r="G32" s="3216"/>
    </row>
    <row r="33" spans="1:7" hidden="1">
      <c r="A33" s="3226" t="s">
        <v>1125</v>
      </c>
      <c r="B33" s="3227"/>
      <c r="C33" s="3227"/>
      <c r="D33" s="3228"/>
      <c r="E33" s="3224"/>
      <c r="F33" s="3224"/>
      <c r="G33" s="3224"/>
    </row>
    <row r="34" spans="1:7" hidden="1">
      <c r="A34" s="1327">
        <v>1</v>
      </c>
      <c r="B34" s="1324" t="s">
        <v>1126</v>
      </c>
      <c r="C34" s="1324"/>
      <c r="D34" s="1324"/>
      <c r="E34" s="3225"/>
      <c r="F34" s="3225"/>
      <c r="G34" s="3225"/>
    </row>
    <row r="35" spans="1:7" hidden="1">
      <c r="A35" s="1327">
        <v>2</v>
      </c>
      <c r="B35" s="1324" t="s">
        <v>1127</v>
      </c>
      <c r="C35" s="1324"/>
      <c r="D35" s="1324"/>
      <c r="E35" s="3225"/>
      <c r="F35" s="3225"/>
      <c r="G35" s="3225"/>
    </row>
    <row r="36" spans="1:7" hidden="1">
      <c r="A36" s="1327">
        <v>3</v>
      </c>
      <c r="B36" s="1324" t="s">
        <v>1128</v>
      </c>
      <c r="C36" s="1324"/>
      <c r="D36" s="1324"/>
      <c r="E36" s="3225"/>
      <c r="F36" s="3225"/>
      <c r="G36" s="3225"/>
    </row>
    <row r="37" spans="1:7" hidden="1">
      <c r="A37" s="1327">
        <v>4</v>
      </c>
      <c r="B37" s="1324" t="s">
        <v>1129</v>
      </c>
      <c r="C37" s="1324"/>
      <c r="D37" s="1324"/>
      <c r="E37" s="3225"/>
      <c r="F37" s="3225"/>
      <c r="G37" s="3225"/>
    </row>
    <row r="38" spans="1:7" hidden="1">
      <c r="A38" s="3226" t="s">
        <v>1130</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3" t="s">
        <v>2529</v>
      </c>
      <c r="C1" s="1633" t="s">
        <v>2530</v>
      </c>
      <c r="D1" s="1620"/>
      <c r="E1" s="2584"/>
      <c r="F1" s="2585" t="s">
        <v>2531</v>
      </c>
      <c r="G1" s="1630" t="s">
        <v>2532</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2533</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2534</v>
      </c>
      <c r="D3" s="399">
        <f>IF(D1="",'数据-汇总表'!E3,SUMIF('数据-汇总表'!$C19:$C33,D1,'数据-汇总表'!$E19:$E33))</f>
        <v>7700.0099999999984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2535</v>
      </c>
      <c r="B4" s="402"/>
      <c r="C4" s="3247" t="s">
        <v>2536</v>
      </c>
      <c r="D4" s="3248"/>
      <c r="E4" s="3249" t="s">
        <v>2537</v>
      </c>
      <c r="F4" s="3250"/>
      <c r="G4" s="3247" t="s">
        <v>2538</v>
      </c>
      <c r="H4" s="3248"/>
      <c r="I4" s="3247" t="s">
        <v>2539</v>
      </c>
      <c r="J4" s="3248"/>
      <c r="K4" s="2597" t="s">
        <v>2540</v>
      </c>
      <c r="L4" s="1130"/>
      <c r="M4" s="1131"/>
      <c r="N4" s="1131"/>
      <c r="O4" s="1131"/>
      <c r="P4" s="3251" t="s">
        <v>2541</v>
      </c>
      <c r="Q4" s="3252"/>
      <c r="R4" s="3234" t="s">
        <v>2537</v>
      </c>
      <c r="S4" s="3235"/>
      <c r="T4" s="3234" t="s">
        <v>2538</v>
      </c>
      <c r="U4" s="3235"/>
      <c r="V4" s="3259" t="s">
        <v>2539</v>
      </c>
      <c r="W4" s="3259"/>
      <c r="X4" s="1812"/>
      <c r="Y4" s="3234" t="s">
        <v>2541</v>
      </c>
      <c r="Z4" s="3235"/>
      <c r="AA4" s="3229" t="s">
        <v>2537</v>
      </c>
      <c r="AB4" s="3229" t="s">
        <v>2538</v>
      </c>
      <c r="AC4" s="3229" t="s">
        <v>2539</v>
      </c>
    </row>
    <row r="5" spans="1:29" ht="15">
      <c r="A5" s="404"/>
      <c r="B5" s="405"/>
      <c r="C5" s="3240" t="s">
        <v>2542</v>
      </c>
      <c r="D5" s="3241"/>
      <c r="E5" s="3238" t="s">
        <v>2543</v>
      </c>
      <c r="F5" s="3239"/>
      <c r="G5" s="3240" t="s">
        <v>2544</v>
      </c>
      <c r="H5" s="3241"/>
      <c r="I5" s="3240" t="s">
        <v>2545</v>
      </c>
      <c r="J5" s="3241"/>
      <c r="K5" s="2598"/>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2598"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2" t="s">
        <v>2549</v>
      </c>
      <c r="Q7" s="3260"/>
      <c r="R7" s="770" t="s">
        <v>23</v>
      </c>
      <c r="S7" s="771">
        <f t="shared" ref="S7:S15" si="0">F7</f>
        <v>0</v>
      </c>
      <c r="T7" s="770" t="s">
        <v>23</v>
      </c>
      <c r="U7" s="771">
        <f t="shared" ref="U7:U15" si="1">H7</f>
        <v>0</v>
      </c>
      <c r="V7" s="770" t="s">
        <v>23</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2" t="s">
        <v>2552</v>
      </c>
      <c r="Q8" s="3233"/>
      <c r="R8" s="770" t="s">
        <v>23</v>
      </c>
      <c r="S8" s="771">
        <f t="shared" si="0"/>
        <v>0</v>
      </c>
      <c r="T8" s="770" t="s">
        <v>23</v>
      </c>
      <c r="U8" s="771">
        <f t="shared" si="1"/>
        <v>0</v>
      </c>
      <c r="V8" s="770" t="s">
        <v>23</v>
      </c>
      <c r="W8" s="771">
        <f t="shared" si="2"/>
        <v>0</v>
      </c>
      <c r="X8" s="772"/>
      <c r="Y8" s="3232" t="s">
        <v>2552</v>
      </c>
      <c r="Z8" s="323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6"/>
      <c r="Q11" s="1794"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6"/>
      <c r="Q12" s="1794">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6"/>
      <c r="Q13" s="1794">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6"/>
      <c r="Q14" s="1794">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99.75">
      <c r="A15" s="440" t="s">
        <v>2559</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3" t="s">
        <v>2560</v>
      </c>
      <c r="Q15" s="1809" t="str">
        <f t="shared" si="6"/>
        <v>居住社区成熟度</v>
      </c>
      <c r="R15" s="774" t="s">
        <v>21</v>
      </c>
      <c r="S15" s="775">
        <f t="shared" si="0"/>
        <v>100</v>
      </c>
      <c r="T15" s="774" t="s">
        <v>21</v>
      </c>
      <c r="U15" s="775">
        <f t="shared" si="1"/>
        <v>100</v>
      </c>
      <c r="V15" s="774" t="s">
        <v>21</v>
      </c>
      <c r="W15" s="775">
        <f t="shared" si="2"/>
        <v>100</v>
      </c>
      <c r="X15" s="1812"/>
      <c r="Y15" s="3266" t="s">
        <v>2560</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4"/>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4"/>
      <c r="Q17" s="1809" t="str">
        <f>B17</f>
        <v>交通便捷度</v>
      </c>
      <c r="R17" s="774" t="s">
        <v>21</v>
      </c>
      <c r="S17" s="775">
        <f>F17</f>
        <v>100</v>
      </c>
      <c r="T17" s="774" t="s">
        <v>21</v>
      </c>
      <c r="U17" s="775">
        <f>H17</f>
        <v>100</v>
      </c>
      <c r="V17" s="774" t="s">
        <v>21</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4"/>
      <c r="Q18" s="1809"/>
      <c r="R18" s="774"/>
      <c r="S18" s="775"/>
      <c r="T18" s="774"/>
      <c r="U18" s="775"/>
      <c r="V18" s="774"/>
      <c r="W18" s="775"/>
      <c r="X18" s="1812"/>
      <c r="Y18" s="3267"/>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4"/>
      <c r="Q19" s="1809" t="str">
        <f>B19</f>
        <v>公共配套设施</v>
      </c>
      <c r="R19" s="774" t="s">
        <v>21</v>
      </c>
      <c r="S19" s="775">
        <f>F19</f>
        <v>100</v>
      </c>
      <c r="T19" s="774" t="s">
        <v>21</v>
      </c>
      <c r="U19" s="775">
        <f>H19</f>
        <v>100</v>
      </c>
      <c r="V19" s="774" t="s">
        <v>21</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4"/>
      <c r="Q20" s="1809"/>
      <c r="R20" s="774"/>
      <c r="S20" s="775"/>
      <c r="T20" s="774"/>
      <c r="U20" s="775"/>
      <c r="V20" s="774"/>
      <c r="W20" s="775"/>
      <c r="X20" s="1812"/>
      <c r="Y20" s="3267"/>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4"/>
      <c r="Q22" s="1809"/>
      <c r="R22" s="774"/>
      <c r="S22" s="775"/>
      <c r="T22" s="774"/>
      <c r="U22" s="775"/>
      <c r="V22" s="774"/>
      <c r="W22" s="775"/>
      <c r="X22" s="1812"/>
      <c r="Y22" s="3267"/>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4"/>
      <c r="Q23" s="1809" t="str">
        <f>B23</f>
        <v>自然及人文环境</v>
      </c>
      <c r="R23" s="774" t="s">
        <v>21</v>
      </c>
      <c r="S23" s="775">
        <f>F23</f>
        <v>100</v>
      </c>
      <c r="T23" s="774" t="s">
        <v>21</v>
      </c>
      <c r="U23" s="775">
        <f>H23</f>
        <v>100</v>
      </c>
      <c r="V23" s="774" t="s">
        <v>21</v>
      </c>
      <c r="W23" s="775">
        <f>J23</f>
        <v>100</v>
      </c>
      <c r="X23" s="1812"/>
      <c r="Y23" s="3267"/>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4"/>
      <c r="Q24" s="1809"/>
      <c r="R24" s="774"/>
      <c r="S24" s="775"/>
      <c r="T24" s="774"/>
      <c r="U24" s="775"/>
      <c r="V24" s="774"/>
      <c r="W24" s="775"/>
      <c r="X24" s="1812"/>
      <c r="Y24" s="3267"/>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7"/>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4"/>
      <c r="Q26" s="1809" t="str">
        <f t="shared" si="11"/>
        <v>朝向</v>
      </c>
      <c r="R26" s="774" t="s">
        <v>21</v>
      </c>
      <c r="S26" s="775">
        <f t="shared" si="12"/>
        <v>100</v>
      </c>
      <c r="T26" s="774" t="s">
        <v>21</v>
      </c>
      <c r="U26" s="775">
        <f t="shared" si="13"/>
        <v>100</v>
      </c>
      <c r="V26" s="774" t="s">
        <v>21</v>
      </c>
      <c r="W26" s="775">
        <f t="shared" si="14"/>
        <v>100</v>
      </c>
      <c r="X26" s="1812"/>
      <c r="Y26" s="326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4"/>
      <c r="Q27" s="1794">
        <f t="shared" si="11"/>
        <v>111</v>
      </c>
      <c r="R27" s="770" t="s">
        <v>21</v>
      </c>
      <c r="S27" s="771">
        <f t="shared" si="12"/>
        <v>100</v>
      </c>
      <c r="T27" s="770" t="s">
        <v>21</v>
      </c>
      <c r="U27" s="771">
        <f t="shared" si="13"/>
        <v>100</v>
      </c>
      <c r="V27" s="770" t="s">
        <v>21</v>
      </c>
      <c r="W27" s="771">
        <f t="shared" si="14"/>
        <v>100</v>
      </c>
      <c r="X27" s="772"/>
      <c r="Y27" s="326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4"/>
      <c r="Q28" s="1809">
        <f t="shared" si="11"/>
        <v>111</v>
      </c>
      <c r="R28" s="774" t="s">
        <v>21</v>
      </c>
      <c r="S28" s="775">
        <f t="shared" si="12"/>
        <v>100</v>
      </c>
      <c r="T28" s="774" t="s">
        <v>21</v>
      </c>
      <c r="U28" s="775">
        <f t="shared" si="13"/>
        <v>100</v>
      </c>
      <c r="V28" s="774" t="s">
        <v>21</v>
      </c>
      <c r="W28" s="775">
        <f t="shared" si="14"/>
        <v>100</v>
      </c>
      <c r="X28" s="1812"/>
      <c r="Y28" s="326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4"/>
      <c r="Q29" s="1809">
        <f t="shared" si="11"/>
        <v>111</v>
      </c>
      <c r="R29" s="774" t="s">
        <v>21</v>
      </c>
      <c r="S29" s="775">
        <f t="shared" si="12"/>
        <v>100</v>
      </c>
      <c r="T29" s="774" t="s">
        <v>21</v>
      </c>
      <c r="U29" s="775">
        <f t="shared" si="13"/>
        <v>100</v>
      </c>
      <c r="V29" s="774" t="s">
        <v>21</v>
      </c>
      <c r="W29" s="775">
        <f t="shared" si="14"/>
        <v>100</v>
      </c>
      <c r="X29" s="1812"/>
      <c r="Y29" s="326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4"/>
      <c r="Q30" s="1809">
        <f t="shared" si="11"/>
        <v>111</v>
      </c>
      <c r="R30" s="774" t="s">
        <v>21</v>
      </c>
      <c r="S30" s="775">
        <f t="shared" si="12"/>
        <v>100</v>
      </c>
      <c r="T30" s="774" t="s">
        <v>21</v>
      </c>
      <c r="U30" s="775">
        <f t="shared" si="13"/>
        <v>100</v>
      </c>
      <c r="V30" s="774" t="s">
        <v>21</v>
      </c>
      <c r="W30" s="775">
        <f t="shared" si="14"/>
        <v>100</v>
      </c>
      <c r="X30" s="1812"/>
      <c r="Y30" s="326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4"/>
      <c r="Q31" s="1809">
        <f t="shared" si="11"/>
        <v>111</v>
      </c>
      <c r="R31" s="774" t="s">
        <v>21</v>
      </c>
      <c r="S31" s="775">
        <f t="shared" si="12"/>
        <v>100</v>
      </c>
      <c r="T31" s="774" t="s">
        <v>21</v>
      </c>
      <c r="U31" s="775">
        <f t="shared" si="13"/>
        <v>100</v>
      </c>
      <c r="V31" s="774" t="s">
        <v>21</v>
      </c>
      <c r="W31" s="775">
        <f t="shared" si="14"/>
        <v>100</v>
      </c>
      <c r="X31" s="1812"/>
      <c r="Y31" s="3267"/>
      <c r="Z31" s="1813">
        <f t="shared" si="18"/>
        <v>111</v>
      </c>
      <c r="AA31" s="1810">
        <f t="shared" si="15"/>
        <v>1</v>
      </c>
      <c r="AB31" s="1810">
        <f t="shared" si="16"/>
        <v>1</v>
      </c>
      <c r="AC31" s="1810">
        <f t="shared" si="17"/>
        <v>1</v>
      </c>
    </row>
    <row r="32" spans="1:29" ht="15">
      <c r="A32" s="440" t="s">
        <v>2563</v>
      </c>
      <c r="B32" s="71" t="s">
        <v>2564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68" t="s">
        <v>2565</v>
      </c>
      <c r="Q32" s="1809" t="str">
        <f t="shared" si="11"/>
        <v>建筑类型</v>
      </c>
      <c r="R32" s="774" t="s">
        <v>21</v>
      </c>
      <c r="S32" s="775">
        <f t="shared" si="12"/>
        <v>100</v>
      </c>
      <c r="T32" s="774" t="s">
        <v>21</v>
      </c>
      <c r="U32" s="775">
        <f t="shared" si="13"/>
        <v>100</v>
      </c>
      <c r="V32" s="774" t="s">
        <v>21</v>
      </c>
      <c r="W32" s="775">
        <f t="shared" si="14"/>
        <v>100</v>
      </c>
      <c r="X32" s="1812"/>
      <c r="Y32" s="3271"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69"/>
      <c r="Q33" s="776" t="str">
        <f t="shared" si="11"/>
        <v>项目建筑规模</v>
      </c>
      <c r="R33" s="777" t="s">
        <v>21</v>
      </c>
      <c r="S33" s="778" t="e">
        <f t="shared" si="12"/>
        <v>#N/A</v>
      </c>
      <c r="T33" s="777" t="s">
        <v>21</v>
      </c>
      <c r="U33" s="778" t="e">
        <f t="shared" si="13"/>
        <v>#N/A</v>
      </c>
      <c r="V33" s="777" t="s">
        <v>21</v>
      </c>
      <c r="W33" s="778" t="e">
        <f t="shared" si="14"/>
        <v>#N/A</v>
      </c>
      <c r="X33" s="779"/>
      <c r="Y33" s="3271"/>
      <c r="Z33" s="780" t="str">
        <f t="shared" si="18"/>
        <v>项目建筑规模</v>
      </c>
      <c r="AA33" s="1810" t="e">
        <f t="shared" si="15"/>
        <v>#N/A</v>
      </c>
      <c r="AB33" s="1810" t="e">
        <f t="shared" si="16"/>
        <v>#N/A</v>
      </c>
      <c r="AC33" s="1810" t="e">
        <f t="shared" si="17"/>
        <v>#N/A</v>
      </c>
    </row>
    <row r="34" spans="1:29" ht="15">
      <c r="A34" s="472"/>
      <c r="B34" s="422" t="s">
        <v>2567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69"/>
      <c r="Q34" s="1809" t="str">
        <f t="shared" si="11"/>
        <v>建筑结构</v>
      </c>
      <c r="R34" s="774" t="s">
        <v>21</v>
      </c>
      <c r="S34" s="775">
        <f t="shared" si="12"/>
        <v>100</v>
      </c>
      <c r="T34" s="774" t="s">
        <v>21</v>
      </c>
      <c r="U34" s="775">
        <f t="shared" si="13"/>
        <v>100</v>
      </c>
      <c r="V34" s="774" t="s">
        <v>21</v>
      </c>
      <c r="W34" s="775">
        <f t="shared" si="14"/>
        <v>100</v>
      </c>
      <c r="X34" s="1812"/>
      <c r="Y34" s="3271"/>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69"/>
      <c r="Q35" s="1809" t="str">
        <f t="shared" si="11"/>
        <v>建筑品质</v>
      </c>
      <c r="R35" s="774" t="s">
        <v>21</v>
      </c>
      <c r="S35" s="775">
        <f t="shared" si="12"/>
        <v>100</v>
      </c>
      <c r="T35" s="774" t="s">
        <v>21</v>
      </c>
      <c r="U35" s="775">
        <f t="shared" si="13"/>
        <v>100</v>
      </c>
      <c r="V35" s="774" t="s">
        <v>21</v>
      </c>
      <c r="W35" s="775">
        <f t="shared" si="14"/>
        <v>100</v>
      </c>
      <c r="X35" s="1812"/>
      <c r="Y35" s="3271"/>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69"/>
      <c r="Q36" s="1809" t="str">
        <f t="shared" si="11"/>
        <v>公共部分装修</v>
      </c>
      <c r="R36" s="774" t="s">
        <v>21</v>
      </c>
      <c r="S36" s="775">
        <f t="shared" si="12"/>
        <v>100</v>
      </c>
      <c r="T36" s="774" t="s">
        <v>21</v>
      </c>
      <c r="U36" s="775">
        <f t="shared" si="13"/>
        <v>100</v>
      </c>
      <c r="V36" s="774" t="s">
        <v>21</v>
      </c>
      <c r="W36" s="775">
        <f t="shared" si="14"/>
        <v>100</v>
      </c>
      <c r="X36" s="1812"/>
      <c r="Y36" s="3271"/>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9"/>
      <c r="Q37" s="1794" t="str">
        <f t="shared" si="11"/>
        <v>成新度</v>
      </c>
      <c r="R37" s="770" t="s">
        <v>21</v>
      </c>
      <c r="S37" s="771" t="e">
        <f t="shared" si="12"/>
        <v>#N/A</v>
      </c>
      <c r="T37" s="770" t="s">
        <v>21</v>
      </c>
      <c r="U37" s="771" t="e">
        <f t="shared" si="13"/>
        <v>#N/A</v>
      </c>
      <c r="V37" s="770" t="s">
        <v>21</v>
      </c>
      <c r="W37" s="771" t="e">
        <f t="shared" si="14"/>
        <v>#N/A</v>
      </c>
      <c r="X37" s="772"/>
      <c r="Y37" s="3271"/>
      <c r="Z37" s="55" t="str">
        <f t="shared" si="18"/>
        <v>成新度</v>
      </c>
      <c r="AA37" s="773" t="e">
        <f t="shared" si="15"/>
        <v>#N/A</v>
      </c>
      <c r="AB37" s="773" t="e">
        <f t="shared" si="16"/>
        <v>#N/A</v>
      </c>
      <c r="AC37" s="773" t="e">
        <f t="shared" si="17"/>
        <v>#N/A</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69" t="s">
        <v>2565</v>
      </c>
      <c r="Q38" s="1809" t="str">
        <f t="shared" si="11"/>
        <v>物业管理</v>
      </c>
      <c r="R38" s="774" t="s">
        <v>21</v>
      </c>
      <c r="S38" s="775">
        <f t="shared" si="12"/>
        <v>100</v>
      </c>
      <c r="T38" s="774" t="s">
        <v>21</v>
      </c>
      <c r="U38" s="775">
        <f t="shared" si="13"/>
        <v>100</v>
      </c>
      <c r="V38" s="774" t="s">
        <v>21</v>
      </c>
      <c r="W38" s="775">
        <f t="shared" si="14"/>
        <v>100</v>
      </c>
      <c r="X38" s="1812"/>
      <c r="Y38" s="3271"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69"/>
      <c r="Q39" s="1809" t="str">
        <f t="shared" si="11"/>
        <v>市政基础设施</v>
      </c>
      <c r="R39" s="774" t="s">
        <v>21</v>
      </c>
      <c r="S39" s="775">
        <f t="shared" si="12"/>
        <v>100</v>
      </c>
      <c r="T39" s="774" t="s">
        <v>21</v>
      </c>
      <c r="U39" s="775">
        <f t="shared" si="13"/>
        <v>100</v>
      </c>
      <c r="V39" s="774" t="s">
        <v>21</v>
      </c>
      <c r="W39" s="775">
        <f t="shared" si="14"/>
        <v>100</v>
      </c>
      <c r="X39" s="1812"/>
      <c r="Y39" s="3271"/>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69"/>
      <c r="Q40" s="1809" t="str">
        <f t="shared" si="11"/>
        <v>房型</v>
      </c>
      <c r="R40" s="774" t="s">
        <v>21</v>
      </c>
      <c r="S40" s="775">
        <f t="shared" si="12"/>
        <v>100</v>
      </c>
      <c r="T40" s="774" t="s">
        <v>21</v>
      </c>
      <c r="U40" s="775">
        <f t="shared" si="13"/>
        <v>100</v>
      </c>
      <c r="V40" s="774" t="s">
        <v>21</v>
      </c>
      <c r="W40" s="775">
        <f t="shared" si="14"/>
        <v>100</v>
      </c>
      <c r="X40" s="1812"/>
      <c r="Y40" s="3271"/>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69"/>
      <c r="Q41" s="776" t="str">
        <f t="shared" si="11"/>
        <v>单套/主力户型建筑面积</v>
      </c>
      <c r="R41" s="777" t="s">
        <v>21</v>
      </c>
      <c r="S41" s="778">
        <f t="shared" si="12"/>
        <v>100</v>
      </c>
      <c r="T41" s="777" t="s">
        <v>21</v>
      </c>
      <c r="U41" s="778">
        <f t="shared" si="13"/>
        <v>100</v>
      </c>
      <c r="V41" s="777" t="s">
        <v>21</v>
      </c>
      <c r="W41" s="778">
        <f t="shared" si="14"/>
        <v>100</v>
      </c>
      <c r="X41" s="779"/>
      <c r="Y41" s="3271"/>
      <c r="Z41" s="780" t="str">
        <f t="shared" si="18"/>
        <v>单套/主力户型建筑面积</v>
      </c>
      <c r="AA41" s="1810">
        <f t="shared" si="15"/>
        <v>1</v>
      </c>
      <c r="AB41" s="1810">
        <f t="shared" si="16"/>
        <v>1</v>
      </c>
      <c r="AC41" s="1810">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69"/>
      <c r="Q42" s="1809" t="str">
        <f t="shared" si="11"/>
        <v>内部装修</v>
      </c>
      <c r="R42" s="774" t="s">
        <v>21</v>
      </c>
      <c r="S42" s="775">
        <f t="shared" si="12"/>
        <v>100</v>
      </c>
      <c r="T42" s="774" t="s">
        <v>21</v>
      </c>
      <c r="U42" s="775">
        <f t="shared" si="13"/>
        <v>100</v>
      </c>
      <c r="V42" s="774" t="s">
        <v>21</v>
      </c>
      <c r="W42" s="775">
        <f t="shared" si="14"/>
        <v>100</v>
      </c>
      <c r="X42" s="1812"/>
      <c r="Y42" s="3271"/>
      <c r="Z42" s="1813" t="str">
        <f t="shared" si="18"/>
        <v>内部装修</v>
      </c>
      <c r="AA42" s="1810">
        <f t="shared" si="15"/>
        <v>1</v>
      </c>
      <c r="AB42" s="1810">
        <f t="shared" si="16"/>
        <v>1</v>
      </c>
      <c r="AC42" s="1810">
        <f t="shared" si="17"/>
        <v>1</v>
      </c>
    </row>
    <row r="43" spans="1:29" ht="15">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69"/>
      <c r="Q43" s="1809" t="str">
        <f t="shared" si="11"/>
        <v>内部装修维护情况</v>
      </c>
      <c r="R43" s="774" t="s">
        <v>21</v>
      </c>
      <c r="S43" s="775">
        <f t="shared" si="12"/>
        <v>100</v>
      </c>
      <c r="T43" s="774" t="s">
        <v>21</v>
      </c>
      <c r="U43" s="775">
        <f t="shared" si="13"/>
        <v>100</v>
      </c>
      <c r="V43" s="774" t="s">
        <v>21</v>
      </c>
      <c r="W43" s="775">
        <f t="shared" si="14"/>
        <v>100</v>
      </c>
      <c r="X43" s="1812"/>
      <c r="Y43" s="327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69"/>
      <c r="Q44" s="1794">
        <f t="shared" si="11"/>
        <v>111</v>
      </c>
      <c r="R44" s="770" t="s">
        <v>21</v>
      </c>
      <c r="S44" s="771">
        <f t="shared" si="12"/>
        <v>100</v>
      </c>
      <c r="T44" s="770" t="s">
        <v>21</v>
      </c>
      <c r="U44" s="771">
        <f t="shared" si="13"/>
        <v>100</v>
      </c>
      <c r="V44" s="770" t="s">
        <v>21</v>
      </c>
      <c r="W44" s="771">
        <f t="shared" si="14"/>
        <v>100</v>
      </c>
      <c r="X44" s="772"/>
      <c r="Y44" s="327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69"/>
      <c r="Q45" s="1809">
        <f t="shared" si="11"/>
        <v>111</v>
      </c>
      <c r="R45" s="774" t="s">
        <v>21</v>
      </c>
      <c r="S45" s="775">
        <f t="shared" si="12"/>
        <v>100</v>
      </c>
      <c r="T45" s="774" t="s">
        <v>21</v>
      </c>
      <c r="U45" s="775">
        <f t="shared" si="13"/>
        <v>100</v>
      </c>
      <c r="V45" s="774" t="s">
        <v>21</v>
      </c>
      <c r="W45" s="775">
        <f t="shared" si="14"/>
        <v>100</v>
      </c>
      <c r="X45" s="1812"/>
      <c r="Y45" s="3271"/>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0"/>
      <c r="Q46" s="1809">
        <f t="shared" si="11"/>
        <v>111</v>
      </c>
      <c r="R46" s="774" t="s">
        <v>20</v>
      </c>
      <c r="S46" s="775">
        <f t="shared" si="12"/>
        <v>100</v>
      </c>
      <c r="T46" s="774" t="s">
        <v>20</v>
      </c>
      <c r="U46" s="775">
        <f t="shared" si="13"/>
        <v>100</v>
      </c>
      <c r="V46" s="774" t="s">
        <v>20</v>
      </c>
      <c r="W46" s="775">
        <f t="shared" si="14"/>
        <v>100</v>
      </c>
      <c r="X46" s="1812"/>
      <c r="Y46" s="3272"/>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2"/>
      <c r="L47" s="1143"/>
      <c r="M47" s="1144"/>
      <c r="N47" s="1131"/>
      <c r="O47" s="1144"/>
      <c r="P47" s="3264" t="str">
        <f>A47</f>
        <v>成交单价（元/平方米）</v>
      </c>
      <c r="Q47" s="3264"/>
      <c r="R47" s="3265">
        <f>E47</f>
        <v>0</v>
      </c>
      <c r="S47" s="3265"/>
      <c r="T47" s="3265">
        <f>G47</f>
        <v>0</v>
      </c>
      <c r="U47" s="3265"/>
      <c r="V47" s="3265">
        <f>I47</f>
        <v>0</v>
      </c>
      <c r="W47" s="3265"/>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3"/>
      <c r="L48" s="1143"/>
      <c r="M48" s="1144"/>
      <c r="N48" s="1144"/>
      <c r="O48" s="1144"/>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4"/>
      <c r="L49" s="1143"/>
      <c r="M49" s="1144"/>
      <c r="N49" s="1144"/>
      <c r="O49" s="1144"/>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7"/>
      <c r="Q57" s="504"/>
    </row>
    <row r="58" spans="1:29" s="508" customFormat="1" ht="15">
      <c r="A58" s="505" t="s">
        <v>2584</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2586</v>
      </c>
      <c r="B61" s="510"/>
      <c r="C61" s="522" t="s">
        <v>2587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2611</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2563</v>
      </c>
      <c r="B100" s="528" t="s">
        <v>2612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2615</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2616</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2619</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6" t="s">
        <v>2625</v>
      </c>
      <c r="D138" s="146" t="s">
        <v>2626</v>
      </c>
      <c r="E138" s="2646" t="s">
        <v>2627</v>
      </c>
      <c r="F138" s="2647" t="s">
        <v>2628</v>
      </c>
      <c r="G138" s="146" t="s">
        <v>2626</v>
      </c>
      <c r="H138" s="147" t="s">
        <v>2627</v>
      </c>
      <c r="I138" s="2648"/>
      <c r="J138" s="146" t="s">
        <v>2629</v>
      </c>
      <c r="K138" s="147" t="s">
        <v>2630</v>
      </c>
    </row>
    <row r="139" spans="1:17" ht="15">
      <c r="B139" s="1084">
        <v>6</v>
      </c>
      <c r="C139" s="1085">
        <v>96</v>
      </c>
      <c r="D139" s="2649" t="s">
        <v>2631</v>
      </c>
      <c r="E139" s="1086">
        <v>100</v>
      </c>
      <c r="F139" s="1087">
        <v>102.5</v>
      </c>
      <c r="G139" s="2649" t="s">
        <v>2631</v>
      </c>
      <c r="H139" s="1088">
        <v>105</v>
      </c>
      <c r="I139" s="2650" t="s">
        <v>2632</v>
      </c>
      <c r="J139" s="1085">
        <v>20</v>
      </c>
      <c r="K139" s="1089">
        <f>C145/(J139-2)</f>
        <v>4.0555555555555553E-3</v>
      </c>
    </row>
    <row r="140" spans="1:17" ht="15">
      <c r="B140" s="1090">
        <v>5</v>
      </c>
      <c r="C140" s="1091">
        <v>100</v>
      </c>
      <c r="D140" s="1091"/>
      <c r="E140" s="1092"/>
      <c r="F140" s="1093">
        <v>102</v>
      </c>
      <c r="G140" s="1091"/>
      <c r="H140" s="1094"/>
      <c r="I140" s="2651" t="s">
        <v>2633</v>
      </c>
      <c r="J140" s="315">
        <f>ROUNDUP((J139-1)/2,0)</f>
        <v>10</v>
      </c>
      <c r="K140" s="1095">
        <v>100</v>
      </c>
    </row>
    <row r="141" spans="1:17" ht="15">
      <c r="B141" s="1090">
        <v>4</v>
      </c>
      <c r="C141" s="1091">
        <v>102</v>
      </c>
      <c r="D141" s="1091"/>
      <c r="E141" s="1092"/>
      <c r="F141" s="1093">
        <v>101.5</v>
      </c>
      <c r="G141" s="1091"/>
      <c r="H141" s="1094"/>
      <c r="I141" s="2651" t="s">
        <v>2634</v>
      </c>
      <c r="J141" s="315">
        <v>1</v>
      </c>
      <c r="K141" s="1096">
        <f>ROUND(100+(J141-J140)*K139*100,1)</f>
        <v>96.4</v>
      </c>
    </row>
    <row r="142" spans="1:17" ht="15">
      <c r="B142" s="1090">
        <v>3</v>
      </c>
      <c r="C142" s="1091">
        <v>103</v>
      </c>
      <c r="D142" s="1091"/>
      <c r="E142" s="1092"/>
      <c r="F142" s="1093">
        <v>101</v>
      </c>
      <c r="G142" s="1091"/>
      <c r="H142" s="1094"/>
      <c r="I142" s="2651" t="s">
        <v>2635</v>
      </c>
      <c r="J142" s="315">
        <f>J139</f>
        <v>20</v>
      </c>
      <c r="K142" s="1097">
        <v>95</v>
      </c>
    </row>
    <row r="143" spans="1:17" ht="15">
      <c r="B143" s="1090">
        <v>2</v>
      </c>
      <c r="C143" s="1091">
        <v>100</v>
      </c>
      <c r="D143" s="1091"/>
      <c r="E143" s="1092"/>
      <c r="F143" s="1093">
        <v>100.5</v>
      </c>
      <c r="G143" s="1091"/>
      <c r="H143" s="1094"/>
      <c r="I143" s="2651" t="s">
        <v>2636</v>
      </c>
      <c r="J143" s="1091">
        <v>15</v>
      </c>
      <c r="K143" s="1096">
        <f>ROUND(100+(J143-J140)*K139*100,1)</f>
        <v>102</v>
      </c>
    </row>
    <row r="144" spans="1:17" ht="15">
      <c r="B144" s="1090">
        <v>1</v>
      </c>
      <c r="C144" s="1091">
        <v>98</v>
      </c>
      <c r="D144" s="2652" t="s">
        <v>2637</v>
      </c>
      <c r="E144" s="1092">
        <v>102</v>
      </c>
      <c r="F144" s="1098">
        <v>100</v>
      </c>
      <c r="G144" s="2652" t="s">
        <v>2637</v>
      </c>
      <c r="H144" s="1094">
        <v>105</v>
      </c>
      <c r="I144" s="2651" t="s">
        <v>2636</v>
      </c>
      <c r="J144" s="1091">
        <v>18</v>
      </c>
      <c r="K144" s="1096">
        <f>ROUND(100+(J144-J140)*K139*100,1)</f>
        <v>103.2</v>
      </c>
    </row>
    <row r="145" spans="2:11" ht="15.75" thickBot="1">
      <c r="B145" s="2653" t="s">
        <v>2638</v>
      </c>
      <c r="C145" s="1099">
        <f>ROUND(MAX(C139:C144)/MIN(C139:C144)-1,3)</f>
        <v>7.2999999999999995E-2</v>
      </c>
      <c r="D145" s="1100"/>
      <c r="E145" s="1100"/>
      <c r="F145" s="2654" t="s">
        <v>2639</v>
      </c>
      <c r="G145" s="2655"/>
      <c r="H145" s="2656"/>
      <c r="I145" s="2657" t="s">
        <v>2636</v>
      </c>
      <c r="J145" s="1101">
        <v>8</v>
      </c>
      <c r="K145" s="1102">
        <f>ROUND(100+(J145-J140)*K139*100,1)</f>
        <v>99.2</v>
      </c>
    </row>
    <row r="147" spans="2:11">
      <c r="B147" s="2638" t="s">
        <v>2640</v>
      </c>
    </row>
    <row r="148" spans="2:11">
      <c r="B148" s="263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3" t="s">
        <v>2642</v>
      </c>
      <c r="C1" s="1633" t="s">
        <v>2530</v>
      </c>
      <c r="D1" s="1620"/>
      <c r="E1" s="2658"/>
      <c r="F1" s="2585"/>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2329</v>
      </c>
      <c r="B3" s="609" t="e">
        <f ca="1">IF(C2="——",C49,ROUND(B2*10000/D3,0))</f>
        <v>#DIV/0!</v>
      </c>
      <c r="C3" s="400" t="s">
        <v>2644</v>
      </c>
      <c r="D3" s="399">
        <f>IF(D1="",'数据-汇总表'!E3,SUMIF('数据-汇总表'!$C19:$C33,D1,'数据-汇总表'!$E19:$E33))</f>
        <v>7700.0099999999984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59"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59"/>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59"/>
      <c r="AC6" s="3231"/>
    </row>
    <row r="7" spans="1:29" s="117" customFormat="1" ht="15.7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6"/>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6"/>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6"/>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6"/>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71.25">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3" t="s">
        <v>2560</v>
      </c>
      <c r="Q15" s="1809" t="str">
        <f t="shared" si="6"/>
        <v>商业繁华度</v>
      </c>
      <c r="R15" s="774" t="s">
        <v>17</v>
      </c>
      <c r="S15" s="775">
        <f t="shared" si="0"/>
        <v>100</v>
      </c>
      <c r="T15" s="774" t="s">
        <v>17</v>
      </c>
      <c r="U15" s="775">
        <f t="shared" si="1"/>
        <v>100</v>
      </c>
      <c r="V15" s="774" t="s">
        <v>17</v>
      </c>
      <c r="W15" s="775">
        <f t="shared" si="2"/>
        <v>100</v>
      </c>
      <c r="X15" s="1812"/>
      <c r="Y15" s="3266"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4"/>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4"/>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4"/>
      <c r="Q18" s="1809"/>
      <c r="R18" s="774"/>
      <c r="S18" s="775"/>
      <c r="T18" s="774"/>
      <c r="U18" s="775"/>
      <c r="V18" s="774"/>
      <c r="W18" s="775"/>
      <c r="X18" s="1812"/>
      <c r="Y18" s="3267"/>
      <c r="Z18" s="1813"/>
      <c r="AA18" s="1810">
        <v>1</v>
      </c>
      <c r="AB18" s="1810">
        <v>1</v>
      </c>
      <c r="AC18" s="1810">
        <v>1</v>
      </c>
    </row>
    <row r="19" spans="1:29" ht="42.75">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4"/>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4"/>
      <c r="Q20" s="1809"/>
      <c r="R20" s="774"/>
      <c r="S20" s="775"/>
      <c r="T20" s="774"/>
      <c r="U20" s="775"/>
      <c r="V20" s="774"/>
      <c r="W20" s="775"/>
      <c r="X20" s="1812"/>
      <c r="Y20" s="3267"/>
      <c r="Z20" s="1813"/>
      <c r="AA20" s="1810">
        <v>1</v>
      </c>
      <c r="AB20" s="1810">
        <v>1</v>
      </c>
      <c r="AC20" s="1810">
        <v>1</v>
      </c>
    </row>
    <row r="21" spans="1:29" ht="28.5">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4"/>
      <c r="Q22" s="1809"/>
      <c r="R22" s="774"/>
      <c r="S22" s="775"/>
      <c r="T22" s="774"/>
      <c r="U22" s="775"/>
      <c r="V22" s="774"/>
      <c r="W22" s="775"/>
      <c r="X22" s="1812"/>
      <c r="Y22" s="3267"/>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4"/>
      <c r="Q23" s="1809" t="str">
        <f>B23</f>
        <v>自然及人文环境</v>
      </c>
      <c r="R23" s="774" t="s">
        <v>17</v>
      </c>
      <c r="S23" s="775">
        <f>F23</f>
        <v>100</v>
      </c>
      <c r="T23" s="774" t="s">
        <v>17</v>
      </c>
      <c r="U23" s="775">
        <f>H23</f>
        <v>100</v>
      </c>
      <c r="V23" s="774" t="s">
        <v>17</v>
      </c>
      <c r="W23" s="775">
        <f>J23</f>
        <v>100</v>
      </c>
      <c r="X23" s="1812"/>
      <c r="Y23" s="3267"/>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4"/>
      <c r="Q24" s="1809"/>
      <c r="R24" s="774"/>
      <c r="S24" s="775"/>
      <c r="T24" s="774"/>
      <c r="U24" s="775"/>
      <c r="V24" s="774"/>
      <c r="W24" s="775"/>
      <c r="X24" s="1812"/>
      <c r="Y24" s="3267"/>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4"/>
      <c r="Q25" s="1809" t="str">
        <f t="shared" ref="Q25:Q46" si="11">B25</f>
        <v>临街状况</v>
      </c>
      <c r="R25" s="774" t="s">
        <v>17</v>
      </c>
      <c r="S25" s="775">
        <f>F25</f>
        <v>100</v>
      </c>
      <c r="T25" s="774" t="s">
        <v>17</v>
      </c>
      <c r="U25" s="775">
        <f>H25</f>
        <v>100</v>
      </c>
      <c r="V25" s="774" t="s">
        <v>17</v>
      </c>
      <c r="W25" s="775">
        <f>J25</f>
        <v>100</v>
      </c>
      <c r="X25" s="1812"/>
      <c r="Y25" s="3267"/>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4"/>
      <c r="Q26" s="1809" t="str">
        <f t="shared" si="11"/>
        <v>平面位置/可视性</v>
      </c>
      <c r="R26" s="774" t="s">
        <v>17</v>
      </c>
      <c r="S26" s="775">
        <f>F26</f>
        <v>100</v>
      </c>
      <c r="T26" s="774" t="s">
        <v>17</v>
      </c>
      <c r="U26" s="775">
        <f>H26</f>
        <v>100</v>
      </c>
      <c r="V26" s="774" t="s">
        <v>17</v>
      </c>
      <c r="W26" s="775">
        <f>J26</f>
        <v>100</v>
      </c>
      <c r="X26" s="1812"/>
      <c r="Y26" s="3267"/>
      <c r="Z26" s="1813" t="str">
        <f>Q26</f>
        <v>平面位置/可视性</v>
      </c>
      <c r="AA26" s="1810">
        <f t="shared" si="3"/>
        <v>1</v>
      </c>
      <c r="AB26" s="1810">
        <f t="shared" si="4"/>
        <v>1</v>
      </c>
      <c r="AC26" s="1810">
        <f t="shared" si="5"/>
        <v>1</v>
      </c>
    </row>
    <row r="27" spans="1:29" s="117" customFormat="1" ht="15">
      <c r="A27" s="431"/>
      <c r="B27" s="451" t="s">
        <v>2658</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4"/>
      <c r="Q27" s="1794" t="str">
        <f t="shared" si="11"/>
        <v>人流量</v>
      </c>
      <c r="R27" s="770" t="s">
        <v>17</v>
      </c>
      <c r="S27" s="771">
        <f>F27</f>
        <v>100</v>
      </c>
      <c r="T27" s="770" t="s">
        <v>17</v>
      </c>
      <c r="U27" s="771">
        <f>H27</f>
        <v>100</v>
      </c>
      <c r="V27" s="770" t="s">
        <v>17</v>
      </c>
      <c r="W27" s="771">
        <f>J27</f>
        <v>100</v>
      </c>
      <c r="X27" s="772"/>
      <c r="Y27" s="3267"/>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4"/>
      <c r="Q29" s="1809">
        <f t="shared" si="11"/>
        <v>111</v>
      </c>
      <c r="R29" s="774" t="s">
        <v>17</v>
      </c>
      <c r="S29" s="775">
        <f t="shared" si="12"/>
        <v>100</v>
      </c>
      <c r="T29" s="774" t="s">
        <v>17</v>
      </c>
      <c r="U29" s="775">
        <f t="shared" si="13"/>
        <v>100</v>
      </c>
      <c r="V29" s="774" t="s">
        <v>17</v>
      </c>
      <c r="W29" s="775">
        <f t="shared" si="14"/>
        <v>100</v>
      </c>
      <c r="X29" s="1812"/>
      <c r="Y29" s="326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4"/>
      <c r="Q30" s="1809">
        <f t="shared" si="11"/>
        <v>111</v>
      </c>
      <c r="R30" s="774" t="s">
        <v>17</v>
      </c>
      <c r="S30" s="775">
        <f t="shared" si="12"/>
        <v>100</v>
      </c>
      <c r="T30" s="774" t="s">
        <v>17</v>
      </c>
      <c r="U30" s="775">
        <f t="shared" si="13"/>
        <v>100</v>
      </c>
      <c r="V30" s="774" t="s">
        <v>17</v>
      </c>
      <c r="W30" s="775">
        <f t="shared" si="14"/>
        <v>100</v>
      </c>
      <c r="X30" s="1812"/>
      <c r="Y30" s="326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4"/>
      <c r="Q31" s="1809">
        <f t="shared" si="11"/>
        <v>111</v>
      </c>
      <c r="R31" s="774" t="s">
        <v>17</v>
      </c>
      <c r="S31" s="775">
        <f t="shared" si="12"/>
        <v>100</v>
      </c>
      <c r="T31" s="774" t="s">
        <v>17</v>
      </c>
      <c r="U31" s="775">
        <f t="shared" si="13"/>
        <v>100</v>
      </c>
      <c r="V31" s="774" t="s">
        <v>17</v>
      </c>
      <c r="W31" s="775">
        <f t="shared" si="14"/>
        <v>100</v>
      </c>
      <c r="X31" s="1812"/>
      <c r="Y31" s="3267"/>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68" t="s">
        <v>2565</v>
      </c>
      <c r="Q32" s="1809" t="str">
        <f t="shared" si="11"/>
        <v>商业类型</v>
      </c>
      <c r="R32" s="774" t="s">
        <v>17</v>
      </c>
      <c r="S32" s="775">
        <f t="shared" si="12"/>
        <v>100</v>
      </c>
      <c r="T32" s="774" t="s">
        <v>17</v>
      </c>
      <c r="U32" s="775">
        <f t="shared" si="13"/>
        <v>100</v>
      </c>
      <c r="V32" s="774" t="s">
        <v>17</v>
      </c>
      <c r="W32" s="775">
        <f t="shared" si="14"/>
        <v>100</v>
      </c>
      <c r="X32" s="1812"/>
      <c r="Y32" s="3271"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9"/>
      <c r="Q33" s="776" t="str">
        <f t="shared" si="11"/>
        <v>项目建筑规模</v>
      </c>
      <c r="R33" s="777" t="s">
        <v>17</v>
      </c>
      <c r="S33" s="778" t="e">
        <f t="shared" si="12"/>
        <v>#N/A</v>
      </c>
      <c r="T33" s="777" t="s">
        <v>17</v>
      </c>
      <c r="U33" s="778" t="e">
        <f t="shared" si="13"/>
        <v>#N/A</v>
      </c>
      <c r="V33" s="777" t="s">
        <v>17</v>
      </c>
      <c r="W33" s="778" t="e">
        <f t="shared" si="14"/>
        <v>#N/A</v>
      </c>
      <c r="X33" s="779"/>
      <c r="Y33" s="3271"/>
      <c r="Z33" s="780" t="str">
        <f t="shared" si="15"/>
        <v>项目建筑规模</v>
      </c>
      <c r="AA33" s="1810" t="e">
        <f t="shared" si="3"/>
        <v>#N/A</v>
      </c>
      <c r="AB33" s="1810" t="e">
        <f t="shared" si="4"/>
        <v>#N/A</v>
      </c>
      <c r="AC33" s="1810" t="e">
        <f t="shared" si="5"/>
        <v>#N/A</v>
      </c>
    </row>
    <row r="34" spans="1:29" ht="15">
      <c r="A34" s="472"/>
      <c r="B34" s="422" t="s">
        <v>2567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69"/>
      <c r="Q34" s="1809" t="str">
        <f t="shared" si="11"/>
        <v>建筑结构</v>
      </c>
      <c r="R34" s="774" t="s">
        <v>17</v>
      </c>
      <c r="S34" s="775">
        <f t="shared" si="12"/>
        <v>100</v>
      </c>
      <c r="T34" s="774" t="s">
        <v>17</v>
      </c>
      <c r="U34" s="775">
        <f t="shared" si="13"/>
        <v>100</v>
      </c>
      <c r="V34" s="774" t="s">
        <v>17</v>
      </c>
      <c r="W34" s="775">
        <f t="shared" si="14"/>
        <v>100</v>
      </c>
      <c r="X34" s="1812"/>
      <c r="Y34" s="3271"/>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69"/>
      <c r="Q35" s="1809" t="str">
        <f t="shared" si="11"/>
        <v>公共部分装修</v>
      </c>
      <c r="R35" s="774" t="s">
        <v>17</v>
      </c>
      <c r="S35" s="775">
        <f t="shared" si="12"/>
        <v>100</v>
      </c>
      <c r="T35" s="774" t="s">
        <v>17</v>
      </c>
      <c r="U35" s="775">
        <f t="shared" si="13"/>
        <v>100</v>
      </c>
      <c r="V35" s="774" t="s">
        <v>17</v>
      </c>
      <c r="W35" s="775">
        <f t="shared" si="14"/>
        <v>100</v>
      </c>
      <c r="X35" s="1812"/>
      <c r="Y35" s="3271"/>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9"/>
      <c r="Q36" s="1809" t="str">
        <f t="shared" si="11"/>
        <v>成新度</v>
      </c>
      <c r="R36" s="774" t="s">
        <v>17</v>
      </c>
      <c r="S36" s="775" t="e">
        <f t="shared" si="12"/>
        <v>#N/A</v>
      </c>
      <c r="T36" s="774" t="s">
        <v>17</v>
      </c>
      <c r="U36" s="775" t="e">
        <f t="shared" si="13"/>
        <v>#N/A</v>
      </c>
      <c r="V36" s="774" t="s">
        <v>17</v>
      </c>
      <c r="W36" s="775" t="e">
        <f t="shared" si="14"/>
        <v>#N/A</v>
      </c>
      <c r="X36" s="1812"/>
      <c r="Y36" s="3271"/>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69"/>
      <c r="Q37" s="1794" t="str">
        <f t="shared" si="11"/>
        <v>市政基础设施</v>
      </c>
      <c r="R37" s="770" t="s">
        <v>17</v>
      </c>
      <c r="S37" s="771">
        <f t="shared" si="12"/>
        <v>100</v>
      </c>
      <c r="T37" s="770" t="s">
        <v>17</v>
      </c>
      <c r="U37" s="771">
        <f t="shared" si="13"/>
        <v>100</v>
      </c>
      <c r="V37" s="770" t="s">
        <v>17</v>
      </c>
      <c r="W37" s="771">
        <f t="shared" si="14"/>
        <v>100</v>
      </c>
      <c r="X37" s="772"/>
      <c r="Y37" s="3271"/>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69" t="s">
        <v>2565</v>
      </c>
      <c r="Q38" s="1809" t="str">
        <f t="shared" si="11"/>
        <v>业态</v>
      </c>
      <c r="R38" s="774" t="s">
        <v>17</v>
      </c>
      <c r="S38" s="775">
        <f t="shared" si="12"/>
        <v>100</v>
      </c>
      <c r="T38" s="774" t="s">
        <v>17</v>
      </c>
      <c r="U38" s="775">
        <f t="shared" si="13"/>
        <v>100</v>
      </c>
      <c r="V38" s="774" t="s">
        <v>17</v>
      </c>
      <c r="W38" s="775">
        <f t="shared" si="14"/>
        <v>100</v>
      </c>
      <c r="X38" s="1812"/>
      <c r="Y38" s="3271"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69"/>
      <c r="Q39" s="1809" t="str">
        <f t="shared" si="11"/>
        <v>层高</v>
      </c>
      <c r="R39" s="774" t="s">
        <v>17</v>
      </c>
      <c r="S39" s="775">
        <f t="shared" si="12"/>
        <v>100</v>
      </c>
      <c r="T39" s="774" t="s">
        <v>17</v>
      </c>
      <c r="U39" s="775">
        <f t="shared" si="13"/>
        <v>100</v>
      </c>
      <c r="V39" s="774" t="s">
        <v>17</v>
      </c>
      <c r="W39" s="775">
        <f t="shared" si="14"/>
        <v>100</v>
      </c>
      <c r="X39" s="1812"/>
      <c r="Y39" s="3271"/>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9"/>
      <c r="Q40" s="1809" t="str">
        <f t="shared" si="11"/>
        <v>单套建筑面积</v>
      </c>
      <c r="R40" s="774" t="s">
        <v>17</v>
      </c>
      <c r="S40" s="775">
        <f t="shared" si="12"/>
        <v>100</v>
      </c>
      <c r="T40" s="774" t="s">
        <v>17</v>
      </c>
      <c r="U40" s="775">
        <f t="shared" si="13"/>
        <v>100</v>
      </c>
      <c r="V40" s="774" t="s">
        <v>17</v>
      </c>
      <c r="W40" s="775">
        <f t="shared" si="14"/>
        <v>100</v>
      </c>
      <c r="X40" s="1812"/>
      <c r="Y40" s="3271"/>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9"/>
      <c r="Q41" s="776" t="str">
        <f t="shared" si="11"/>
        <v>进深比</v>
      </c>
      <c r="R41" s="777" t="s">
        <v>17</v>
      </c>
      <c r="S41" s="778">
        <f t="shared" si="12"/>
        <v>100</v>
      </c>
      <c r="T41" s="777" t="s">
        <v>17</v>
      </c>
      <c r="U41" s="778">
        <f t="shared" si="13"/>
        <v>100</v>
      </c>
      <c r="V41" s="777" t="s">
        <v>17</v>
      </c>
      <c r="W41" s="778">
        <f t="shared" si="14"/>
        <v>100</v>
      </c>
      <c r="X41" s="779"/>
      <c r="Y41" s="3271"/>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69"/>
      <c r="Q42" s="1809" t="str">
        <f t="shared" si="11"/>
        <v>内部装修</v>
      </c>
      <c r="R42" s="774" t="s">
        <v>17</v>
      </c>
      <c r="S42" s="775">
        <f t="shared" si="12"/>
        <v>100</v>
      </c>
      <c r="T42" s="774" t="s">
        <v>17</v>
      </c>
      <c r="U42" s="775">
        <f t="shared" si="13"/>
        <v>100</v>
      </c>
      <c r="V42" s="774" t="s">
        <v>17</v>
      </c>
      <c r="W42" s="775">
        <f t="shared" si="14"/>
        <v>100</v>
      </c>
      <c r="X42" s="1812"/>
      <c r="Y42" s="3271"/>
      <c r="Z42" s="1813" t="str">
        <f t="shared" si="15"/>
        <v>内部装修</v>
      </c>
      <c r="AA42" s="1810">
        <f t="shared" si="3"/>
        <v>1</v>
      </c>
      <c r="AB42" s="1810">
        <f t="shared" si="4"/>
        <v>1</v>
      </c>
      <c r="AC42" s="1810">
        <f t="shared" si="5"/>
        <v>1</v>
      </c>
    </row>
    <row r="43" spans="1:29" ht="15">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69"/>
      <c r="Q43" s="1809" t="str">
        <f t="shared" si="11"/>
        <v>内部装修维护情况</v>
      </c>
      <c r="R43" s="774" t="s">
        <v>17</v>
      </c>
      <c r="S43" s="775">
        <f t="shared" si="12"/>
        <v>100</v>
      </c>
      <c r="T43" s="774" t="s">
        <v>17</v>
      </c>
      <c r="U43" s="775">
        <f t="shared" si="13"/>
        <v>100</v>
      </c>
      <c r="V43" s="774" t="s">
        <v>17</v>
      </c>
      <c r="W43" s="775">
        <f t="shared" si="14"/>
        <v>100</v>
      </c>
      <c r="X43" s="1812"/>
      <c r="Y43" s="327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9"/>
      <c r="Q44" s="1794">
        <f t="shared" si="11"/>
        <v>111</v>
      </c>
      <c r="R44" s="770" t="s">
        <v>17</v>
      </c>
      <c r="S44" s="771">
        <f t="shared" si="12"/>
        <v>100</v>
      </c>
      <c r="T44" s="770" t="s">
        <v>17</v>
      </c>
      <c r="U44" s="771">
        <f t="shared" si="13"/>
        <v>100</v>
      </c>
      <c r="V44" s="770" t="s">
        <v>17</v>
      </c>
      <c r="W44" s="771">
        <f t="shared" si="14"/>
        <v>100</v>
      </c>
      <c r="X44" s="772"/>
      <c r="Y44" s="327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9"/>
      <c r="Q45" s="1809">
        <f t="shared" si="11"/>
        <v>111</v>
      </c>
      <c r="R45" s="774" t="s">
        <v>17</v>
      </c>
      <c r="S45" s="775">
        <f t="shared" si="12"/>
        <v>100</v>
      </c>
      <c r="T45" s="774" t="s">
        <v>17</v>
      </c>
      <c r="U45" s="775">
        <f t="shared" si="13"/>
        <v>100</v>
      </c>
      <c r="V45" s="774" t="s">
        <v>17</v>
      </c>
      <c r="W45" s="775">
        <f t="shared" si="14"/>
        <v>100</v>
      </c>
      <c r="X45" s="1812"/>
      <c r="Y45" s="3271"/>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0"/>
      <c r="Q46" s="1809">
        <f t="shared" si="11"/>
        <v>111</v>
      </c>
      <c r="R46" s="774" t="s">
        <v>17</v>
      </c>
      <c r="S46" s="775">
        <f t="shared" si="12"/>
        <v>100</v>
      </c>
      <c r="T46" s="774" t="s">
        <v>17</v>
      </c>
      <c r="U46" s="775">
        <f t="shared" si="13"/>
        <v>100</v>
      </c>
      <c r="V46" s="774" t="s">
        <v>17</v>
      </c>
      <c r="W46" s="775">
        <f t="shared" si="14"/>
        <v>100</v>
      </c>
      <c r="X46" s="1812"/>
      <c r="Y46" s="3272"/>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3"/>
      <c r="L47" s="1143"/>
      <c r="M47" s="1144"/>
      <c r="N47" s="1131"/>
      <c r="O47" s="1144"/>
      <c r="P47" s="3264" t="str">
        <f>A47</f>
        <v>成交单价（元/平方米）</v>
      </c>
      <c r="Q47" s="3264"/>
      <c r="R47" s="3259">
        <f>E47</f>
        <v>0</v>
      </c>
      <c r="S47" s="3259"/>
      <c r="T47" s="3259">
        <f>G47</f>
        <v>0</v>
      </c>
      <c r="U47" s="3259"/>
      <c r="V47" s="3259">
        <f>I47</f>
        <v>0</v>
      </c>
      <c r="W47" s="3259"/>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2548</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2550</v>
      </c>
      <c r="B61" s="510"/>
      <c r="C61" s="522" t="s">
        <v>2652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2563</v>
      </c>
      <c r="B100" s="528" t="s">
        <v>2681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2616</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2684</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估价对象为北京市出让国有建设用地使用权及在建建筑物房地产，为所有。根据《国有土地使用证》[]，估价对象（分摊）出让国有建设用地使用权面积为373.16平方米，建筑面积为7700.01平方米。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2020年5月22日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79" zoomScale="70" zoomScaleNormal="70" workbookViewId="0">
      <selection activeCell="H19" sqref="H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0" t="s">
        <v>2686</v>
      </c>
      <c r="C1" s="1619" t="s">
        <v>2530</v>
      </c>
      <c r="D1" s="1620" t="s">
        <v>3267</v>
      </c>
      <c r="E1" s="1629"/>
      <c r="F1" s="2585" t="s">
        <v>3168</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2791</v>
      </c>
      <c r="C2" s="2587" t="s">
        <v>70</v>
      </c>
      <c r="D2" s="136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40818</v>
      </c>
      <c r="C3" s="400" t="s">
        <v>2644</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83" t="s">
        <v>2651</v>
      </c>
      <c r="Q4" s="3284"/>
      <c r="R4" s="3276" t="s">
        <v>2647</v>
      </c>
      <c r="S4" s="3277"/>
      <c r="T4" s="3276" t="s">
        <v>2648</v>
      </c>
      <c r="U4" s="3277"/>
      <c r="V4" s="3287" t="s">
        <v>2649</v>
      </c>
      <c r="W4" s="3287"/>
      <c r="X4" s="2671"/>
      <c r="Y4" s="3276" t="s">
        <v>2651</v>
      </c>
      <c r="Z4" s="3277"/>
      <c r="AA4" s="3275" t="s">
        <v>2647</v>
      </c>
      <c r="AB4" s="3275" t="s">
        <v>2648</v>
      </c>
      <c r="AC4" s="3280" t="s">
        <v>2649</v>
      </c>
    </row>
    <row r="5" spans="1:29" ht="15">
      <c r="A5" s="404"/>
      <c r="B5" s="405"/>
      <c r="C5" s="3240" t="s">
        <v>2542</v>
      </c>
      <c r="D5" s="3241"/>
      <c r="E5" s="3278" t="s">
        <v>3169</v>
      </c>
      <c r="F5" s="3239"/>
      <c r="G5" s="3279" t="s">
        <v>3285</v>
      </c>
      <c r="H5" s="3241"/>
      <c r="I5" s="3279" t="s">
        <v>3170</v>
      </c>
      <c r="J5" s="3241"/>
      <c r="K5" s="610"/>
      <c r="L5" s="1130"/>
      <c r="M5" s="1131"/>
      <c r="N5" s="1131"/>
      <c r="O5" s="1131"/>
      <c r="P5" s="3285"/>
      <c r="Q5" s="3254"/>
      <c r="R5" s="3236"/>
      <c r="S5" s="3237"/>
      <c r="T5" s="3236"/>
      <c r="U5" s="3237"/>
      <c r="V5" s="3259"/>
      <c r="W5" s="3259"/>
      <c r="X5" s="1812"/>
      <c r="Y5" s="3236"/>
      <c r="Z5" s="3237"/>
      <c r="AA5" s="3230"/>
      <c r="AB5" s="3230"/>
      <c r="AC5" s="3281"/>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86"/>
      <c r="Q6" s="3256"/>
      <c r="R6" s="3236"/>
      <c r="S6" s="3237"/>
      <c r="T6" s="3257"/>
      <c r="U6" s="3258"/>
      <c r="V6" s="3259"/>
      <c r="W6" s="3259"/>
      <c r="X6" s="1812"/>
      <c r="Y6" s="3257"/>
      <c r="Z6" s="3258"/>
      <c r="AA6" s="3231"/>
      <c r="AB6" s="3231"/>
      <c r="AC6" s="3282"/>
    </row>
    <row r="7" spans="1:29" s="117" customFormat="1" ht="15.75" thickBot="1">
      <c r="A7" s="408" t="s">
        <v>2548</v>
      </c>
      <c r="B7" s="409"/>
      <c r="C7" s="410">
        <f>'数据-取费表'!B2</f>
        <v>43973</v>
      </c>
      <c r="D7" s="411">
        <v>100</v>
      </c>
      <c r="E7" s="412">
        <v>43952</v>
      </c>
      <c r="F7" s="413">
        <f>SUMIF(59:59,YEAR(E7)&amp;"-"&amp;MONTH(E7),60:60)</f>
        <v>100</v>
      </c>
      <c r="G7" s="412">
        <v>43952</v>
      </c>
      <c r="H7" s="411">
        <f>SUMIF(59:59,YEAR(G7)&amp;"-"&amp;MONTH(G7),60:60)</f>
        <v>100</v>
      </c>
      <c r="I7" s="412">
        <v>43952</v>
      </c>
      <c r="J7" s="411">
        <f>SUMIF(59:59,YEAR(I7)&amp;"-"&amp;MONTH(I7),60:60)</f>
        <v>100</v>
      </c>
      <c r="K7" s="611"/>
      <c r="L7" s="1132"/>
      <c r="M7" s="1133"/>
      <c r="N7" s="1133"/>
      <c r="O7" s="1133"/>
      <c r="P7" s="3288" t="s">
        <v>2549</v>
      </c>
      <c r="Q7" s="3260"/>
      <c r="R7" s="770" t="s">
        <v>17</v>
      </c>
      <c r="S7" s="771">
        <f t="shared" ref="S7:S15" si="0">F7</f>
        <v>100</v>
      </c>
      <c r="T7" s="770" t="s">
        <v>17</v>
      </c>
      <c r="U7" s="771">
        <f t="shared" ref="U7:U15" si="1">H7</f>
        <v>100</v>
      </c>
      <c r="V7" s="770" t="s">
        <v>17</v>
      </c>
      <c r="W7" s="771">
        <f t="shared" ref="W7:W15" si="2">J7</f>
        <v>100</v>
      </c>
      <c r="X7" s="772"/>
      <c r="Y7" s="3232" t="s">
        <v>2549</v>
      </c>
      <c r="Z7" s="3233"/>
      <c r="AA7" s="773">
        <f>D7/F7</f>
        <v>1</v>
      </c>
      <c r="AB7" s="773">
        <f>D7/H7</f>
        <v>1</v>
      </c>
      <c r="AC7" s="2672">
        <f>D7/J7</f>
        <v>1</v>
      </c>
    </row>
    <row r="8" spans="1:29" s="117" customFormat="1" ht="15.75" thickBot="1">
      <c r="A8" s="408" t="s">
        <v>2550</v>
      </c>
      <c r="B8" s="409"/>
      <c r="C8" s="414" t="s">
        <v>2652</v>
      </c>
      <c r="D8" s="411">
        <v>100</v>
      </c>
      <c r="E8" s="2978" t="s">
        <v>3171</v>
      </c>
      <c r="F8" s="413">
        <f>SUMIF(62:62,E8,63:63)-SUMIF(62:62,C8,63:63)+100</f>
        <v>100</v>
      </c>
      <c r="G8" s="2978" t="s">
        <v>3171</v>
      </c>
      <c r="H8" s="411">
        <f>SUMIF(62:62,G8,63:63)-SUMIF(62:62,C8,63:63)+100</f>
        <v>100</v>
      </c>
      <c r="I8" s="2978" t="s">
        <v>3171</v>
      </c>
      <c r="J8" s="411">
        <f>SUMIF(62:62,I8,63:63)-SUMIF(62:62,C8,63:63)+100</f>
        <v>100</v>
      </c>
      <c r="K8" s="611"/>
      <c r="L8" s="1132"/>
      <c r="M8" s="1133"/>
      <c r="N8" s="1133"/>
      <c r="O8" s="1133"/>
      <c r="P8" s="3288" t="s">
        <v>2552</v>
      </c>
      <c r="Q8" s="3233"/>
      <c r="R8" s="770" t="s">
        <v>17</v>
      </c>
      <c r="S8" s="771">
        <f t="shared" si="0"/>
        <v>100</v>
      </c>
      <c r="T8" s="770" t="s">
        <v>17</v>
      </c>
      <c r="U8" s="771">
        <f t="shared" si="1"/>
        <v>100</v>
      </c>
      <c r="V8" s="770" t="s">
        <v>17</v>
      </c>
      <c r="W8" s="771">
        <f t="shared" si="2"/>
        <v>100</v>
      </c>
      <c r="X8" s="772"/>
      <c r="Y8" s="3232" t="s">
        <v>2552</v>
      </c>
      <c r="Z8" s="3233"/>
      <c r="AA8" s="773">
        <f t="shared" ref="AA8:AA47" si="3">D8/F8</f>
        <v>1</v>
      </c>
      <c r="AB8" s="773">
        <f t="shared" ref="AB8:AB47" si="4">D8/H8</f>
        <v>1</v>
      </c>
      <c r="AC8" s="2672">
        <f t="shared" ref="AC8:AC47" si="5">D8/J8</f>
        <v>1</v>
      </c>
    </row>
    <row r="9" spans="1:29" s="117" customFormat="1">
      <c r="A9" s="415" t="s">
        <v>2553</v>
      </c>
      <c r="B9" s="71" t="s">
        <v>2554</v>
      </c>
      <c r="C9" s="2979" t="s">
        <v>3172</v>
      </c>
      <c r="D9" s="135">
        <v>100</v>
      </c>
      <c r="E9" s="2980" t="s">
        <v>3172</v>
      </c>
      <c r="F9" s="135">
        <f>SUMIF(64:64,E9,65:65)-SUMIF(64:64,C9,65:65)+100</f>
        <v>100</v>
      </c>
      <c r="G9" s="2981" t="s">
        <v>3172</v>
      </c>
      <c r="H9" s="135">
        <f>SUMIF(64:64,G9,65:65)-SUMIF(64:64,C9,65:65)+100</f>
        <v>100</v>
      </c>
      <c r="I9" s="2981" t="s">
        <v>3172</v>
      </c>
      <c r="J9" s="135">
        <f>SUMIF(64:64,I9,65:65)-SUMIF(64:64,C9,65:65)+100</f>
        <v>100</v>
      </c>
      <c r="K9" s="611"/>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2672">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72">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6"/>
      <c r="Q11" s="1794" t="str">
        <f t="shared" si="6"/>
        <v>容积率</v>
      </c>
      <c r="R11" s="770" t="s">
        <v>17</v>
      </c>
      <c r="S11" s="771">
        <f t="shared" si="0"/>
        <v>100</v>
      </c>
      <c r="T11" s="770" t="s">
        <v>17</v>
      </c>
      <c r="U11" s="771">
        <f t="shared" si="1"/>
        <v>100</v>
      </c>
      <c r="V11" s="770" t="s">
        <v>17</v>
      </c>
      <c r="W11" s="771">
        <f t="shared" si="2"/>
        <v>100</v>
      </c>
      <c r="X11" s="772"/>
      <c r="Y11" s="3063"/>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6"/>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6"/>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6"/>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72">
        <f t="shared" si="5"/>
        <v>1</v>
      </c>
    </row>
    <row r="15" spans="1:29" ht="71.25">
      <c r="A15" s="440" t="s">
        <v>2559</v>
      </c>
      <c r="B15" s="629" t="s">
        <v>2687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3" t="s">
        <v>2560</v>
      </c>
      <c r="Q15" s="1809" t="str">
        <f t="shared" si="6"/>
        <v>办公集聚程度</v>
      </c>
      <c r="R15" s="774" t="s">
        <v>17</v>
      </c>
      <c r="S15" s="775">
        <f t="shared" si="0"/>
        <v>100</v>
      </c>
      <c r="T15" s="774" t="s">
        <v>17</v>
      </c>
      <c r="U15" s="775">
        <f t="shared" si="1"/>
        <v>100</v>
      </c>
      <c r="V15" s="774" t="s">
        <v>17</v>
      </c>
      <c r="W15" s="775">
        <f t="shared" si="2"/>
        <v>100</v>
      </c>
      <c r="X15" s="1812"/>
      <c r="Y15" s="3266" t="s">
        <v>2560</v>
      </c>
      <c r="Z15" s="1813" t="str">
        <f t="shared" si="7"/>
        <v>办公集聚程度</v>
      </c>
      <c r="AA15" s="1810">
        <f t="shared" si="3"/>
        <v>1</v>
      </c>
      <c r="AB15" s="1810">
        <f t="shared" si="4"/>
        <v>1</v>
      </c>
      <c r="AC15" s="2675">
        <f t="shared" si="5"/>
        <v>1</v>
      </c>
    </row>
    <row r="16" spans="1:29" ht="15">
      <c r="A16" s="428"/>
      <c r="B16" s="630"/>
      <c r="C16" s="2982" t="s">
        <v>3173</v>
      </c>
      <c r="D16" s="448"/>
      <c r="E16" s="2983" t="s">
        <v>3173</v>
      </c>
      <c r="F16" s="448"/>
      <c r="G16" s="2982" t="s">
        <v>3173</v>
      </c>
      <c r="H16" s="450"/>
      <c r="I16" s="2983" t="s">
        <v>3173</v>
      </c>
      <c r="J16" s="448"/>
      <c r="K16" s="615"/>
      <c r="L16" s="1140"/>
      <c r="M16" s="1131"/>
      <c r="N16" s="1131"/>
      <c r="O16" s="1131"/>
      <c r="P16" s="3274"/>
      <c r="Q16" s="1809"/>
      <c r="R16" s="774"/>
      <c r="S16" s="775"/>
      <c r="T16" s="774"/>
      <c r="U16" s="775"/>
      <c r="V16" s="774"/>
      <c r="W16" s="775"/>
      <c r="X16" s="1812"/>
      <c r="Y16" s="3267"/>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4"/>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2675">
        <f t="shared" si="5"/>
        <v>1</v>
      </c>
    </row>
    <row r="18" spans="1:29" ht="15">
      <c r="A18" s="428"/>
      <c r="B18" s="632"/>
      <c r="C18" s="2984" t="s">
        <v>3173</v>
      </c>
      <c r="D18" s="450"/>
      <c r="E18" s="2985" t="s">
        <v>3173</v>
      </c>
      <c r="F18" s="450"/>
      <c r="G18" s="2986" t="s">
        <v>3173</v>
      </c>
      <c r="H18" s="448"/>
      <c r="I18" s="2986" t="s">
        <v>3173</v>
      </c>
      <c r="J18" s="448"/>
      <c r="K18" s="615"/>
      <c r="L18" s="1140"/>
      <c r="M18" s="1131"/>
      <c r="N18" s="1131"/>
      <c r="O18" s="1131"/>
      <c r="P18" s="3274"/>
      <c r="Q18" s="1809"/>
      <c r="R18" s="774"/>
      <c r="S18" s="775"/>
      <c r="T18" s="774"/>
      <c r="U18" s="775"/>
      <c r="V18" s="774"/>
      <c r="W18" s="775"/>
      <c r="X18" s="1812"/>
      <c r="Y18" s="3267"/>
      <c r="Z18" s="1813"/>
      <c r="AA18" s="1810">
        <v>1</v>
      </c>
      <c r="AB18" s="1810">
        <v>1</v>
      </c>
      <c r="AC18" s="2675">
        <v>1</v>
      </c>
    </row>
    <row r="19" spans="1:29" ht="42.75">
      <c r="A19" s="428"/>
      <c r="B19" s="631" t="s">
        <v>2688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4"/>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2675">
        <f t="shared" si="5"/>
        <v>1</v>
      </c>
    </row>
    <row r="20" spans="1:29" ht="15">
      <c r="A20" s="428"/>
      <c r="B20" s="632"/>
      <c r="C20" s="2982" t="s">
        <v>3173</v>
      </c>
      <c r="D20" s="448"/>
      <c r="E20" s="2987" t="s">
        <v>3173</v>
      </c>
      <c r="F20" s="448"/>
      <c r="G20" s="2988" t="s">
        <v>3173</v>
      </c>
      <c r="H20" s="448"/>
      <c r="I20" s="2988" t="s">
        <v>3173</v>
      </c>
      <c r="J20" s="448"/>
      <c r="K20" s="615"/>
      <c r="L20" s="1140"/>
      <c r="M20" s="1131"/>
      <c r="N20" s="1131"/>
      <c r="O20" s="1131"/>
      <c r="P20" s="3274"/>
      <c r="Q20" s="1809"/>
      <c r="R20" s="774"/>
      <c r="S20" s="775"/>
      <c r="T20" s="774"/>
      <c r="U20" s="775"/>
      <c r="V20" s="774"/>
      <c r="W20" s="775"/>
      <c r="X20" s="1812"/>
      <c r="Y20" s="3267"/>
      <c r="Z20" s="1813"/>
      <c r="AA20" s="1810">
        <v>1</v>
      </c>
      <c r="AB20" s="1810">
        <v>1</v>
      </c>
      <c r="AC20" s="2675">
        <v>1</v>
      </c>
    </row>
    <row r="21" spans="1:29" ht="28.5">
      <c r="A21" s="428"/>
      <c r="B21" s="633" t="s">
        <v>2689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2675">
        <f t="shared" ref="AC21" si="10">D21/J21</f>
        <v>1</v>
      </c>
    </row>
    <row r="22" spans="1:29" ht="15">
      <c r="A22" s="428"/>
      <c r="B22" s="633"/>
      <c r="C22" s="2984" t="s">
        <v>3174</v>
      </c>
      <c r="D22" s="448"/>
      <c r="E22" s="2983" t="s">
        <v>3174</v>
      </c>
      <c r="F22" s="448"/>
      <c r="G22" s="2982" t="s">
        <v>3174</v>
      </c>
      <c r="H22" s="448"/>
      <c r="I22" s="2982" t="s">
        <v>3174</v>
      </c>
      <c r="J22" s="448"/>
      <c r="K22" s="1382"/>
      <c r="L22" s="1140"/>
      <c r="M22" s="1131"/>
      <c r="N22" s="1131"/>
      <c r="O22" s="1131"/>
      <c r="P22" s="3274"/>
      <c r="Q22" s="1809"/>
      <c r="R22" s="774"/>
      <c r="S22" s="775"/>
      <c r="T22" s="774"/>
      <c r="U22" s="775"/>
      <c r="V22" s="774"/>
      <c r="W22" s="775"/>
      <c r="X22" s="1812"/>
      <c r="Y22" s="3267"/>
      <c r="Z22" s="1813"/>
      <c r="AA22" s="1810">
        <v>1</v>
      </c>
      <c r="AB22" s="1810">
        <v>1</v>
      </c>
      <c r="AC22" s="2675">
        <v>1</v>
      </c>
    </row>
    <row r="23" spans="1:29" ht="42.75">
      <c r="A23" s="428"/>
      <c r="B23" s="631" t="s">
        <v>2690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4"/>
      <c r="Q23" s="1809" t="str">
        <f>B23</f>
        <v>环境质量</v>
      </c>
      <c r="R23" s="774" t="s">
        <v>17</v>
      </c>
      <c r="S23" s="775">
        <f>F23</f>
        <v>100</v>
      </c>
      <c r="T23" s="774" t="s">
        <v>17</v>
      </c>
      <c r="U23" s="775">
        <f>H23</f>
        <v>100</v>
      </c>
      <c r="V23" s="774" t="s">
        <v>17</v>
      </c>
      <c r="W23" s="775">
        <f>J23</f>
        <v>100</v>
      </c>
      <c r="X23" s="1812"/>
      <c r="Y23" s="3267"/>
      <c r="Z23" s="1813" t="str">
        <f>Q23</f>
        <v>环境质量</v>
      </c>
      <c r="AA23" s="1810">
        <f t="shared" si="3"/>
        <v>1</v>
      </c>
      <c r="AB23" s="1810">
        <f t="shared" si="4"/>
        <v>1</v>
      </c>
      <c r="AC23" s="2675">
        <f t="shared" si="5"/>
        <v>1</v>
      </c>
    </row>
    <row r="24" spans="1:29" ht="15">
      <c r="A24" s="428"/>
      <c r="B24" s="633"/>
      <c r="C24" s="2982" t="s">
        <v>3173</v>
      </c>
      <c r="D24" s="448"/>
      <c r="E24" s="2987" t="s">
        <v>3173</v>
      </c>
      <c r="F24" s="448"/>
      <c r="G24" s="2988" t="s">
        <v>3173</v>
      </c>
      <c r="H24" s="448"/>
      <c r="I24" s="2988" t="s">
        <v>3173</v>
      </c>
      <c r="J24" s="448"/>
      <c r="K24" s="615"/>
      <c r="L24" s="1140"/>
      <c r="M24" s="1131"/>
      <c r="N24" s="1131"/>
      <c r="O24" s="1131"/>
      <c r="P24" s="3274"/>
      <c r="Q24" s="1809"/>
      <c r="R24" s="774"/>
      <c r="S24" s="775"/>
      <c r="T24" s="774"/>
      <c r="U24" s="775"/>
      <c r="V24" s="774"/>
      <c r="W24" s="775"/>
      <c r="X24" s="1812"/>
      <c r="Y24" s="3267"/>
      <c r="Z24" s="1813"/>
      <c r="AA24" s="1810">
        <v>1</v>
      </c>
      <c r="AB24" s="1810">
        <v>1</v>
      </c>
      <c r="AC24" s="2675">
        <v>1</v>
      </c>
    </row>
    <row r="25" spans="1:29" ht="27">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4"/>
      <c r="Q25" s="1809" t="str">
        <f>B25</f>
        <v>毗邻道路的类型与等级</v>
      </c>
      <c r="R25" s="774" t="s">
        <v>17</v>
      </c>
      <c r="S25" s="775">
        <f>F25</f>
        <v>100</v>
      </c>
      <c r="T25" s="774" t="s">
        <v>17</v>
      </c>
      <c r="U25" s="775">
        <f>H25</f>
        <v>100</v>
      </c>
      <c r="V25" s="774" t="s">
        <v>17</v>
      </c>
      <c r="W25" s="775">
        <f>J25</f>
        <v>100</v>
      </c>
      <c r="X25" s="1812"/>
      <c r="Y25" s="3267"/>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4"/>
      <c r="Q26" s="1809"/>
      <c r="R26" s="774"/>
      <c r="S26" s="775"/>
      <c r="T26" s="774"/>
      <c r="U26" s="775"/>
      <c r="V26" s="774"/>
      <c r="W26" s="775"/>
      <c r="X26" s="1812"/>
      <c r="Y26" s="3267"/>
      <c r="Z26" s="1813"/>
      <c r="AA26" s="1810">
        <v>1</v>
      </c>
      <c r="AB26" s="1810">
        <v>1</v>
      </c>
      <c r="AC26" s="2675">
        <v>1</v>
      </c>
    </row>
    <row r="27" spans="1:29" ht="15">
      <c r="A27" s="428"/>
      <c r="B27" s="632" t="s">
        <v>2659</v>
      </c>
      <c r="C27" s="2989" t="s">
        <v>3283</v>
      </c>
      <c r="D27" s="435">
        <v>100</v>
      </c>
      <c r="E27" s="2990" t="s">
        <v>3176</v>
      </c>
      <c r="F27" s="435">
        <f>SUMIF(89:89,E27,90:90)-SUMIF(89:89,C27,90:90)+100</f>
        <v>105</v>
      </c>
      <c r="G27" s="2989" t="s">
        <v>3176</v>
      </c>
      <c r="H27" s="435">
        <f>SUMIF(89:89,G27,90:90)-SUMIF(89:89,C27,90:90)+100</f>
        <v>105</v>
      </c>
      <c r="I27" s="2990" t="s">
        <v>3176</v>
      </c>
      <c r="J27" s="435">
        <f>SUMIF(89:89,I27,90:90)-SUMIF(89:89,C27,90:90)+100</f>
        <v>105</v>
      </c>
      <c r="K27" s="612">
        <v>5</v>
      </c>
      <c r="L27" s="1140"/>
      <c r="M27" s="1131"/>
      <c r="N27" s="1131"/>
      <c r="O27" s="1131"/>
      <c r="P27" s="3274"/>
      <c r="Q27" s="1809" t="str">
        <f t="shared" ref="Q27:Q47" si="11">B27</f>
        <v>楼层</v>
      </c>
      <c r="R27" s="774" t="s">
        <v>17</v>
      </c>
      <c r="S27" s="775">
        <f>F27</f>
        <v>105</v>
      </c>
      <c r="T27" s="774" t="s">
        <v>17</v>
      </c>
      <c r="U27" s="775">
        <f>H27</f>
        <v>105</v>
      </c>
      <c r="V27" s="774" t="s">
        <v>17</v>
      </c>
      <c r="W27" s="775">
        <f>J27</f>
        <v>105</v>
      </c>
      <c r="X27" s="1812"/>
      <c r="Y27" s="3267"/>
      <c r="Z27" s="1813" t="str">
        <f>Q27</f>
        <v>楼层</v>
      </c>
      <c r="AA27" s="1810">
        <f t="shared" si="3"/>
        <v>0.95238095238095233</v>
      </c>
      <c r="AB27" s="1810">
        <f t="shared" si="4"/>
        <v>0.95238095238095233</v>
      </c>
      <c r="AC27" s="2675">
        <f t="shared" si="5"/>
        <v>0.95238095238095233</v>
      </c>
    </row>
    <row r="28" spans="1:29" s="117" customFormat="1" ht="15">
      <c r="A28" s="431"/>
      <c r="B28" s="631" t="s">
        <v>2692</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4"/>
      <c r="Q28" s="1794" t="str">
        <f t="shared" si="11"/>
        <v>朝向</v>
      </c>
      <c r="R28" s="770" t="s">
        <v>17</v>
      </c>
      <c r="S28" s="771">
        <f>F28</f>
        <v>100</v>
      </c>
      <c r="T28" s="770" t="s">
        <v>17</v>
      </c>
      <c r="U28" s="771">
        <f>H28</f>
        <v>100</v>
      </c>
      <c r="V28" s="770" t="s">
        <v>17</v>
      </c>
      <c r="W28" s="771">
        <f>J28</f>
        <v>100</v>
      </c>
      <c r="X28" s="772"/>
      <c r="Y28" s="3267"/>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4"/>
      <c r="Q29" s="1809">
        <f t="shared" si="11"/>
        <v>111</v>
      </c>
      <c r="R29" s="774" t="s">
        <v>17</v>
      </c>
      <c r="S29" s="775">
        <f t="shared" ref="S29:S47" si="12">F29</f>
        <v>100</v>
      </c>
      <c r="T29" s="774" t="s">
        <v>17</v>
      </c>
      <c r="U29" s="775">
        <f t="shared" ref="U29:U47" si="13">H29</f>
        <v>100</v>
      </c>
      <c r="V29" s="774" t="s">
        <v>17</v>
      </c>
      <c r="W29" s="775">
        <f t="shared" ref="W29:W47" si="14">J29</f>
        <v>100</v>
      </c>
      <c r="X29" s="1812"/>
      <c r="Y29" s="3267"/>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4"/>
      <c r="Q30" s="1809">
        <f t="shared" si="11"/>
        <v>111</v>
      </c>
      <c r="R30" s="774" t="s">
        <v>17</v>
      </c>
      <c r="S30" s="775">
        <f t="shared" si="12"/>
        <v>100</v>
      </c>
      <c r="T30" s="774" t="s">
        <v>17</v>
      </c>
      <c r="U30" s="775">
        <f t="shared" si="13"/>
        <v>100</v>
      </c>
      <c r="V30" s="774" t="s">
        <v>17</v>
      </c>
      <c r="W30" s="775">
        <f t="shared" si="14"/>
        <v>100</v>
      </c>
      <c r="X30" s="1812"/>
      <c r="Y30" s="3267"/>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4"/>
      <c r="Q31" s="1809">
        <f t="shared" si="11"/>
        <v>111</v>
      </c>
      <c r="R31" s="774" t="s">
        <v>17</v>
      </c>
      <c r="S31" s="775">
        <f t="shared" si="12"/>
        <v>100</v>
      </c>
      <c r="T31" s="774" t="s">
        <v>17</v>
      </c>
      <c r="U31" s="775">
        <f t="shared" si="13"/>
        <v>100</v>
      </c>
      <c r="V31" s="774" t="s">
        <v>17</v>
      </c>
      <c r="W31" s="775">
        <f t="shared" si="14"/>
        <v>100</v>
      </c>
      <c r="X31" s="1812"/>
      <c r="Y31" s="3267"/>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4"/>
      <c r="Q32" s="1809">
        <f t="shared" si="11"/>
        <v>111</v>
      </c>
      <c r="R32" s="774" t="s">
        <v>17</v>
      </c>
      <c r="S32" s="775">
        <f t="shared" si="12"/>
        <v>100</v>
      </c>
      <c r="T32" s="774" t="s">
        <v>17</v>
      </c>
      <c r="U32" s="775">
        <f t="shared" si="13"/>
        <v>100</v>
      </c>
      <c r="V32" s="774" t="s">
        <v>17</v>
      </c>
      <c r="W32" s="775">
        <f t="shared" si="14"/>
        <v>100</v>
      </c>
      <c r="X32" s="1812"/>
      <c r="Y32" s="3267"/>
      <c r="Z32" s="1813">
        <f t="shared" si="15"/>
        <v>111</v>
      </c>
      <c r="AA32" s="1810">
        <f t="shared" si="3"/>
        <v>1</v>
      </c>
      <c r="AB32" s="1810">
        <f t="shared" si="4"/>
        <v>1</v>
      </c>
      <c r="AC32" s="2675">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68" t="s">
        <v>2565</v>
      </c>
      <c r="Q33" s="1809" t="str">
        <f t="shared" si="11"/>
        <v>建筑类型</v>
      </c>
      <c r="R33" s="774" t="s">
        <v>17</v>
      </c>
      <c r="S33" s="775">
        <f t="shared" si="12"/>
        <v>100</v>
      </c>
      <c r="T33" s="774" t="s">
        <v>17</v>
      </c>
      <c r="U33" s="775">
        <f t="shared" si="13"/>
        <v>100</v>
      </c>
      <c r="V33" s="774" t="s">
        <v>17</v>
      </c>
      <c r="W33" s="775">
        <f t="shared" si="14"/>
        <v>100</v>
      </c>
      <c r="X33" s="1812"/>
      <c r="Y33" s="3271" t="s">
        <v>2565</v>
      </c>
      <c r="Z33" s="1813" t="str">
        <f t="shared" si="15"/>
        <v>建筑类型</v>
      </c>
      <c r="AA33" s="1810">
        <f t="shared" si="3"/>
        <v>1</v>
      </c>
      <c r="AB33" s="1810">
        <f t="shared" si="4"/>
        <v>1</v>
      </c>
      <c r="AC33" s="2675">
        <f t="shared" si="5"/>
        <v>1</v>
      </c>
    </row>
    <row r="34" spans="1:29" s="471" customFormat="1" ht="15">
      <c r="A34" s="468"/>
      <c r="B34" s="422" t="s">
        <v>2566</v>
      </c>
      <c r="C34" s="469">
        <f>'数据-汇总表'!F19</f>
        <v>683.76</v>
      </c>
      <c r="D34" s="136">
        <v>100</v>
      </c>
      <c r="E34" s="430">
        <v>364</v>
      </c>
      <c r="F34" s="425">
        <f>LOOKUP(E34,104:104,105:105)-LOOKUP(C34,104:104,105:105)+100</f>
        <v>102</v>
      </c>
      <c r="G34" s="429">
        <v>1582</v>
      </c>
      <c r="H34" s="136">
        <f>LOOKUP(G34,104:104,105:105)-LOOKUP(C34,104:104,105:105)+100</f>
        <v>94</v>
      </c>
      <c r="I34" s="429">
        <v>1540</v>
      </c>
      <c r="J34" s="136">
        <f>LOOKUP(I34,104:104,105:105)-LOOKUP(C34,104:104,105:105)+100</f>
        <v>94</v>
      </c>
      <c r="K34" s="613"/>
      <c r="L34" s="1138"/>
      <c r="M34" s="1141"/>
      <c r="N34" s="1141"/>
      <c r="O34" s="1141"/>
      <c r="P34" s="3269"/>
      <c r="Q34" s="776" t="str">
        <f t="shared" si="11"/>
        <v>项目建筑规模</v>
      </c>
      <c r="R34" s="777" t="s">
        <v>17</v>
      </c>
      <c r="S34" s="778">
        <f t="shared" si="12"/>
        <v>102</v>
      </c>
      <c r="T34" s="777" t="s">
        <v>17</v>
      </c>
      <c r="U34" s="778">
        <f t="shared" si="13"/>
        <v>94</v>
      </c>
      <c r="V34" s="777" t="s">
        <v>17</v>
      </c>
      <c r="W34" s="778">
        <f t="shared" si="14"/>
        <v>94</v>
      </c>
      <c r="X34" s="779"/>
      <c r="Y34" s="3271"/>
      <c r="Z34" s="780" t="str">
        <f t="shared" si="15"/>
        <v>项目建筑规模</v>
      </c>
      <c r="AA34" s="1810">
        <f t="shared" si="3"/>
        <v>0.98039215686274506</v>
      </c>
      <c r="AB34" s="1810">
        <f t="shared" si="4"/>
        <v>1.0638297872340425</v>
      </c>
      <c r="AC34" s="2675">
        <f t="shared" si="5"/>
        <v>1.0638297872340425</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9"/>
      <c r="Q35" s="1809" t="str">
        <f t="shared" si="11"/>
        <v>建筑结构</v>
      </c>
      <c r="R35" s="774" t="s">
        <v>17</v>
      </c>
      <c r="S35" s="775">
        <f t="shared" si="12"/>
        <v>100</v>
      </c>
      <c r="T35" s="774" t="s">
        <v>17</v>
      </c>
      <c r="U35" s="775">
        <f t="shared" si="13"/>
        <v>100</v>
      </c>
      <c r="V35" s="774" t="s">
        <v>17</v>
      </c>
      <c r="W35" s="775">
        <f t="shared" si="14"/>
        <v>100</v>
      </c>
      <c r="X35" s="1812"/>
      <c r="Y35" s="3271"/>
      <c r="Z35" s="1813" t="str">
        <f t="shared" si="15"/>
        <v>建筑结构</v>
      </c>
      <c r="AA35" s="1810">
        <f t="shared" si="3"/>
        <v>1</v>
      </c>
      <c r="AB35" s="1810">
        <f t="shared" si="4"/>
        <v>1</v>
      </c>
      <c r="AC35" s="267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9"/>
      <c r="Q36" s="1809" t="str">
        <f t="shared" si="11"/>
        <v>公共部分装修</v>
      </c>
      <c r="R36" s="774" t="s">
        <v>17</v>
      </c>
      <c r="S36" s="775">
        <f t="shared" si="12"/>
        <v>100</v>
      </c>
      <c r="T36" s="774" t="s">
        <v>17</v>
      </c>
      <c r="U36" s="775">
        <f t="shared" si="13"/>
        <v>100</v>
      </c>
      <c r="V36" s="774" t="s">
        <v>17</v>
      </c>
      <c r="W36" s="775">
        <f t="shared" si="14"/>
        <v>100</v>
      </c>
      <c r="X36" s="1812"/>
      <c r="Y36" s="3271"/>
      <c r="Z36" s="1813" t="str">
        <f t="shared" si="15"/>
        <v>公共部分装修</v>
      </c>
      <c r="AA36" s="1810">
        <f t="shared" si="3"/>
        <v>1</v>
      </c>
      <c r="AB36" s="1810">
        <f t="shared" si="4"/>
        <v>1</v>
      </c>
      <c r="AC36" s="2675">
        <f t="shared" si="5"/>
        <v>1</v>
      </c>
    </row>
    <row r="37" spans="1:29" ht="15">
      <c r="A37" s="472"/>
      <c r="B37" s="422" t="s">
        <v>2662</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69"/>
      <c r="Q37" s="1809" t="str">
        <f t="shared" si="11"/>
        <v>成新度</v>
      </c>
      <c r="R37" s="774" t="s">
        <v>17</v>
      </c>
      <c r="S37" s="775">
        <f t="shared" si="12"/>
        <v>100</v>
      </c>
      <c r="T37" s="774" t="s">
        <v>17</v>
      </c>
      <c r="U37" s="775">
        <f t="shared" si="13"/>
        <v>100</v>
      </c>
      <c r="V37" s="774" t="s">
        <v>17</v>
      </c>
      <c r="W37" s="775">
        <f t="shared" si="14"/>
        <v>100</v>
      </c>
      <c r="X37" s="1812"/>
      <c r="Y37" s="3271"/>
      <c r="Z37" s="1813" t="str">
        <f t="shared" si="15"/>
        <v>成新度</v>
      </c>
      <c r="AA37" s="1810">
        <f t="shared" si="3"/>
        <v>1</v>
      </c>
      <c r="AB37" s="1810">
        <f t="shared" si="4"/>
        <v>1</v>
      </c>
      <c r="AC37" s="2675">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9"/>
      <c r="Q38" s="1794" t="str">
        <f t="shared" si="11"/>
        <v>写字楼等级</v>
      </c>
      <c r="R38" s="770" t="s">
        <v>17</v>
      </c>
      <c r="S38" s="771">
        <f t="shared" si="12"/>
        <v>100</v>
      </c>
      <c r="T38" s="770" t="s">
        <v>17</v>
      </c>
      <c r="U38" s="771">
        <f t="shared" si="13"/>
        <v>100</v>
      </c>
      <c r="V38" s="770" t="s">
        <v>17</v>
      </c>
      <c r="W38" s="771">
        <f t="shared" si="14"/>
        <v>100</v>
      </c>
      <c r="X38" s="772"/>
      <c r="Y38" s="3271"/>
      <c r="Z38" s="55" t="str">
        <f t="shared" si="15"/>
        <v>写字楼等级</v>
      </c>
      <c r="AA38" s="773">
        <f t="shared" si="3"/>
        <v>1</v>
      </c>
      <c r="AB38" s="773">
        <f t="shared" si="4"/>
        <v>1</v>
      </c>
      <c r="AC38" s="267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9" t="s">
        <v>2565</v>
      </c>
      <c r="Q39" s="1809" t="str">
        <f t="shared" si="11"/>
        <v>物业管理</v>
      </c>
      <c r="R39" s="774" t="s">
        <v>17</v>
      </c>
      <c r="S39" s="775">
        <f t="shared" si="12"/>
        <v>100</v>
      </c>
      <c r="T39" s="774" t="s">
        <v>17</v>
      </c>
      <c r="U39" s="775">
        <f t="shared" si="13"/>
        <v>100</v>
      </c>
      <c r="V39" s="774" t="s">
        <v>17</v>
      </c>
      <c r="W39" s="775">
        <f t="shared" si="14"/>
        <v>100</v>
      </c>
      <c r="X39" s="1812"/>
      <c r="Y39" s="3271" t="s">
        <v>2565</v>
      </c>
      <c r="Z39" s="1813" t="str">
        <f t="shared" si="15"/>
        <v>物业管理</v>
      </c>
      <c r="AA39" s="1810">
        <f t="shared" si="3"/>
        <v>1</v>
      </c>
      <c r="AB39" s="1810">
        <f t="shared" si="4"/>
        <v>1</v>
      </c>
      <c r="AC39" s="267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9"/>
      <c r="Q40" s="1809" t="str">
        <f t="shared" si="11"/>
        <v>市政基础设施</v>
      </c>
      <c r="R40" s="774" t="s">
        <v>17</v>
      </c>
      <c r="S40" s="775">
        <f t="shared" si="12"/>
        <v>100</v>
      </c>
      <c r="T40" s="774" t="s">
        <v>17</v>
      </c>
      <c r="U40" s="775">
        <f t="shared" si="13"/>
        <v>100</v>
      </c>
      <c r="V40" s="774" t="s">
        <v>17</v>
      </c>
      <c r="W40" s="775">
        <f t="shared" si="14"/>
        <v>100</v>
      </c>
      <c r="X40" s="1812"/>
      <c r="Y40" s="3271"/>
      <c r="Z40" s="1813" t="str">
        <f t="shared" si="15"/>
        <v>市政基础设施</v>
      </c>
      <c r="AA40" s="1810">
        <f t="shared" si="3"/>
        <v>1</v>
      </c>
      <c r="AB40" s="1810">
        <f t="shared" si="4"/>
        <v>1</v>
      </c>
      <c r="AC40" s="267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9"/>
      <c r="Q41" s="1809" t="str">
        <f t="shared" si="11"/>
        <v>层高</v>
      </c>
      <c r="R41" s="774" t="s">
        <v>17</v>
      </c>
      <c r="S41" s="775">
        <f t="shared" si="12"/>
        <v>100</v>
      </c>
      <c r="T41" s="774" t="s">
        <v>17</v>
      </c>
      <c r="U41" s="775">
        <f t="shared" si="13"/>
        <v>100</v>
      </c>
      <c r="V41" s="774" t="s">
        <v>17</v>
      </c>
      <c r="W41" s="775">
        <f t="shared" si="14"/>
        <v>100</v>
      </c>
      <c r="X41" s="1812"/>
      <c r="Y41" s="3271"/>
      <c r="Z41" s="1813" t="str">
        <f t="shared" si="15"/>
        <v>层高</v>
      </c>
      <c r="AA41" s="1810">
        <f t="shared" si="3"/>
        <v>1</v>
      </c>
      <c r="AB41" s="1810">
        <f t="shared" si="4"/>
        <v>1</v>
      </c>
      <c r="AC41" s="2675">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9"/>
      <c r="Q42" s="776" t="str">
        <f t="shared" si="11"/>
        <v>单套建筑面积</v>
      </c>
      <c r="R42" s="777" t="s">
        <v>17</v>
      </c>
      <c r="S42" s="778">
        <f t="shared" si="12"/>
        <v>100</v>
      </c>
      <c r="T42" s="777" t="s">
        <v>17</v>
      </c>
      <c r="U42" s="778">
        <f t="shared" si="13"/>
        <v>100</v>
      </c>
      <c r="V42" s="777" t="s">
        <v>17</v>
      </c>
      <c r="W42" s="778">
        <f t="shared" si="14"/>
        <v>100</v>
      </c>
      <c r="X42" s="779"/>
      <c r="Y42" s="3271"/>
      <c r="Z42" s="780" t="str">
        <f t="shared" si="15"/>
        <v>单套建筑面积</v>
      </c>
      <c r="AA42" s="1810">
        <f t="shared" si="3"/>
        <v>1</v>
      </c>
      <c r="AB42" s="1810">
        <f t="shared" si="4"/>
        <v>1</v>
      </c>
      <c r="AC42" s="267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9"/>
      <c r="Q43" s="1809" t="str">
        <f t="shared" si="11"/>
        <v>内部装修</v>
      </c>
      <c r="R43" s="774" t="s">
        <v>17</v>
      </c>
      <c r="S43" s="775">
        <f t="shared" si="12"/>
        <v>100</v>
      </c>
      <c r="T43" s="774" t="s">
        <v>17</v>
      </c>
      <c r="U43" s="775">
        <f t="shared" si="13"/>
        <v>100</v>
      </c>
      <c r="V43" s="774" t="s">
        <v>17</v>
      </c>
      <c r="W43" s="775">
        <f t="shared" si="14"/>
        <v>100</v>
      </c>
      <c r="X43" s="1812"/>
      <c r="Y43" s="3271"/>
      <c r="Z43" s="1813" t="str">
        <f t="shared" si="15"/>
        <v>内部装修</v>
      </c>
      <c r="AA43" s="1810">
        <f t="shared" si="3"/>
        <v>1</v>
      </c>
      <c r="AB43" s="1810">
        <f t="shared" si="4"/>
        <v>1</v>
      </c>
      <c r="AC43" s="2675">
        <f t="shared" si="5"/>
        <v>1</v>
      </c>
    </row>
    <row r="44" spans="1:29" ht="15">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69"/>
      <c r="Q44" s="1809" t="str">
        <f t="shared" si="11"/>
        <v>内部装修维护情况</v>
      </c>
      <c r="R44" s="774" t="s">
        <v>17</v>
      </c>
      <c r="S44" s="775">
        <f t="shared" si="12"/>
        <v>100</v>
      </c>
      <c r="T44" s="774" t="s">
        <v>17</v>
      </c>
      <c r="U44" s="775">
        <f t="shared" si="13"/>
        <v>100</v>
      </c>
      <c r="V44" s="774" t="s">
        <v>17</v>
      </c>
      <c r="W44" s="775">
        <f t="shared" si="14"/>
        <v>100</v>
      </c>
      <c r="X44" s="1812"/>
      <c r="Y44" s="3271"/>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9"/>
      <c r="Q45" s="1794">
        <f t="shared" si="11"/>
        <v>111</v>
      </c>
      <c r="R45" s="770" t="s">
        <v>17</v>
      </c>
      <c r="S45" s="771">
        <f t="shared" si="12"/>
        <v>100</v>
      </c>
      <c r="T45" s="770" t="s">
        <v>17</v>
      </c>
      <c r="U45" s="771">
        <f t="shared" si="13"/>
        <v>100</v>
      </c>
      <c r="V45" s="770" t="s">
        <v>17</v>
      </c>
      <c r="W45" s="771">
        <f t="shared" si="14"/>
        <v>100</v>
      </c>
      <c r="X45" s="772"/>
      <c r="Y45" s="3271"/>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9"/>
      <c r="Q46" s="1809">
        <f t="shared" si="11"/>
        <v>111</v>
      </c>
      <c r="R46" s="774" t="s">
        <v>17</v>
      </c>
      <c r="S46" s="775">
        <f t="shared" si="12"/>
        <v>100</v>
      </c>
      <c r="T46" s="774" t="s">
        <v>17</v>
      </c>
      <c r="U46" s="775">
        <f t="shared" si="13"/>
        <v>100</v>
      </c>
      <c r="V46" s="774" t="s">
        <v>17</v>
      </c>
      <c r="W46" s="775">
        <f t="shared" si="14"/>
        <v>100</v>
      </c>
      <c r="X46" s="1812"/>
      <c r="Y46" s="3271"/>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0"/>
      <c r="Q47" s="1809">
        <f t="shared" si="11"/>
        <v>111</v>
      </c>
      <c r="R47" s="774" t="s">
        <v>17</v>
      </c>
      <c r="S47" s="775">
        <f t="shared" si="12"/>
        <v>100</v>
      </c>
      <c r="T47" s="774" t="s">
        <v>17</v>
      </c>
      <c r="U47" s="775">
        <f t="shared" si="13"/>
        <v>100</v>
      </c>
      <c r="V47" s="774" t="s">
        <v>17</v>
      </c>
      <c r="W47" s="775">
        <f t="shared" si="14"/>
        <v>100</v>
      </c>
      <c r="X47" s="1812"/>
      <c r="Y47" s="3272"/>
      <c r="Z47" s="1813">
        <f t="shared" si="15"/>
        <v>111</v>
      </c>
      <c r="AA47" s="1810">
        <f t="shared" si="3"/>
        <v>1</v>
      </c>
      <c r="AB47" s="1810">
        <f t="shared" si="4"/>
        <v>1</v>
      </c>
      <c r="AC47" s="2675">
        <f t="shared" si="5"/>
        <v>1</v>
      </c>
    </row>
    <row r="48" spans="1:29" ht="15">
      <c r="A48" s="479" t="s">
        <v>2577</v>
      </c>
      <c r="B48" s="480"/>
      <c r="C48" s="1406" t="s">
        <v>1</v>
      </c>
      <c r="D48" s="1407"/>
      <c r="E48" s="1408">
        <v>40000</v>
      </c>
      <c r="F48" s="1409"/>
      <c r="G48" s="1410">
        <v>44000</v>
      </c>
      <c r="H48" s="1411"/>
      <c r="I48" s="1408">
        <v>40000</v>
      </c>
      <c r="J48" s="485"/>
      <c r="K48" s="783"/>
      <c r="L48" s="1143"/>
      <c r="M48" s="1131"/>
      <c r="N48" s="1131"/>
      <c r="O48" s="1131"/>
      <c r="P48" s="3246" t="str">
        <f>A48</f>
        <v>成交单价（元/平方米）</v>
      </c>
      <c r="Q48" s="3264"/>
      <c r="R48" s="3265">
        <f>E48</f>
        <v>40000</v>
      </c>
      <c r="S48" s="3265"/>
      <c r="T48" s="3265">
        <f>G48</f>
        <v>44000</v>
      </c>
      <c r="U48" s="3265"/>
      <c r="V48" s="3265">
        <f>I48</f>
        <v>40000</v>
      </c>
      <c r="W48" s="3265"/>
      <c r="X48" s="446"/>
      <c r="Y48" s="781"/>
      <c r="Z48" s="446"/>
      <c r="AA48" s="446"/>
      <c r="AB48" s="446"/>
      <c r="AC48" s="630"/>
    </row>
    <row r="49" spans="1:29" ht="15.75" thickBot="1">
      <c r="A49" s="486" t="s">
        <v>2669</v>
      </c>
      <c r="B49" s="487"/>
      <c r="C49" s="1412">
        <f>R50</f>
        <v>40818</v>
      </c>
      <c r="D49" s="1413"/>
      <c r="E49" s="1414">
        <f>R49</f>
        <v>37348</v>
      </c>
      <c r="F49" s="1414"/>
      <c r="G49" s="1412">
        <f>T49</f>
        <v>44580</v>
      </c>
      <c r="H49" s="1413"/>
      <c r="I49" s="1414">
        <f>V49</f>
        <v>40527</v>
      </c>
      <c r="J49" s="489"/>
      <c r="K49" s="784"/>
      <c r="L49" s="1143"/>
      <c r="M49" s="1131"/>
      <c r="N49" s="1131"/>
      <c r="O49" s="1131"/>
      <c r="P49" s="3246" t="str">
        <f>A49</f>
        <v>比较价值（元/平方米）</v>
      </c>
      <c r="Q49" s="3264"/>
      <c r="R49" s="3265">
        <f>IF(F1="售价",ROUND(PRODUCT(R48,AA7:AA47),0),ROUND(PRODUCT(R48,AA7:AA47),1))</f>
        <v>37348</v>
      </c>
      <c r="S49" s="3265"/>
      <c r="T49" s="3265">
        <f>IF(F1="售价",ROUND(PRODUCT(T48,AB7:AB47),0),ROUND(PRODUCT(T48,AB7:AB47),1))</f>
        <v>44580</v>
      </c>
      <c r="U49" s="3265"/>
      <c r="V49" s="3265">
        <f>IF(F1="售价",ROUND(PRODUCT(V48,AC7:AC47),0),ROUND(PRODUCT(V48,AC7:AC47),1))</f>
        <v>40527</v>
      </c>
      <c r="W49" s="3265"/>
      <c r="X49" s="446"/>
      <c r="Y49" s="446"/>
      <c r="Z49" s="446"/>
      <c r="AA49" s="446"/>
      <c r="AB49" s="446"/>
      <c r="AC49" s="630"/>
    </row>
    <row r="50" spans="1:29" ht="15.75" thickBot="1">
      <c r="A50" s="492" t="s">
        <v>2670</v>
      </c>
      <c r="B50" s="493"/>
      <c r="C50" s="1416">
        <f>R50</f>
        <v>40818</v>
      </c>
      <c r="D50" s="1416"/>
      <c r="E50" s="1416"/>
      <c r="F50" s="1416"/>
      <c r="G50" s="1416"/>
      <c r="H50" s="1416"/>
      <c r="I50" s="1416"/>
      <c r="J50" s="494"/>
      <c r="K50" s="785"/>
      <c r="L50" s="1143"/>
      <c r="M50" s="1131"/>
      <c r="N50" s="1131"/>
      <c r="O50" s="1131"/>
      <c r="P50" s="3289" t="str">
        <f>A50</f>
        <v>估价对象XX用房的比较价值（楼面单价，元/平方米）</v>
      </c>
      <c r="Q50" s="3290"/>
      <c r="R50" s="3291">
        <f>IF(F1="售价",ROUND(AVERAGE(R49:V49),0),ROUND(AVERAGE(R49:V49),1))</f>
        <v>40818</v>
      </c>
      <c r="S50" s="3291"/>
      <c r="T50" s="3291"/>
      <c r="U50" s="3291"/>
      <c r="V50" s="3291"/>
      <c r="W50" s="3291"/>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7.1007818357073926E-2</v>
      </c>
      <c r="F53" s="500" t="str">
        <f>IF(OR(E53&gt;=0.3,E53&lt;=-0.3),"超过30%","")</f>
        <v/>
      </c>
      <c r="G53" s="499">
        <f>IF(G48&lt;G49,G49/G48-1,G48/G49-1)</f>
        <v>1.3181818181818183E-2</v>
      </c>
      <c r="H53" s="500" t="str">
        <f>IF(OR(G53&gt;=0.3,G53&lt;=-0.3),"超过30%","")</f>
        <v/>
      </c>
      <c r="I53" s="499">
        <f>IF(I48&lt;I49,I49/I48-1,I48/I49-1)</f>
        <v>1.3174999999999937E-2</v>
      </c>
      <c r="J53" s="500" t="str">
        <f>IF(OR(I53&gt;=0.3,I53&lt;=-0.3),"超过30%","")</f>
        <v/>
      </c>
      <c r="K53" s="1105"/>
      <c r="L53" s="1106"/>
      <c r="M53" s="1144"/>
      <c r="N53" s="1144"/>
      <c r="O53" s="1144"/>
    </row>
    <row r="54" spans="1:29" ht="13.5" customHeight="1">
      <c r="A54" s="1144"/>
      <c r="B54" s="1144"/>
      <c r="C54" s="497" t="s">
        <v>2672</v>
      </c>
      <c r="D54" s="501"/>
      <c r="E54" s="499">
        <f>IF(E49&lt;G49,G49/E49-1,E49/G49-1)</f>
        <v>0.19363821355895894</v>
      </c>
      <c r="F54" s="500" t="str">
        <f>IF(OR(E54&gt;=0.2,E54&lt;=-0.2),"超过20%","")</f>
        <v/>
      </c>
      <c r="G54" s="499">
        <f>IF(G49&lt;I49,I49/G49-1,G49/I49-1)</f>
        <v>0.10000740247242579</v>
      </c>
      <c r="H54" s="500" t="str">
        <f>IF(OR(G54&gt;=0.2,G54&lt;=-0.2),"超过20%","")</f>
        <v/>
      </c>
      <c r="I54" s="499">
        <f>IF(I49&lt;E49,E49/I49-1,I49/E49-1)</f>
        <v>8.5118346363928454E-2</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1"/>
      <c r="Q58" s="504"/>
    </row>
    <row r="59" spans="1:29" s="508" customFormat="1" ht="15">
      <c r="A59" s="505" t="s">
        <v>2548</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2588</v>
      </c>
      <c r="B64" s="528" t="s">
        <v>2554</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2558</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2699</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3176</v>
      </c>
      <c r="D89" s="2991" t="s">
        <v>3175</v>
      </c>
      <c r="E89" s="2991" t="s">
        <v>3177</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2563</v>
      </c>
      <c r="B101" s="528" t="s">
        <v>2612</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2613</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3267</v>
      </c>
      <c r="D1" s="1819" t="s">
        <v>70</v>
      </c>
      <c r="E1" s="1820" t="s">
        <v>1381</v>
      </c>
      <c r="F1" s="1282">
        <f ca="1">J53</f>
        <v>29.65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4302</v>
      </c>
      <c r="C2" s="1844" t="s">
        <v>1585</v>
      </c>
      <c r="D2" s="1936">
        <f ca="1">C40+J29+L46</f>
        <v>43017839</v>
      </c>
      <c r="E2" s="1845" t="s">
        <v>1586</v>
      </c>
      <c r="F2" s="1846"/>
      <c r="G2" s="1847"/>
      <c r="H2" s="1839"/>
      <c r="I2" s="1839"/>
      <c r="J2" s="1839"/>
      <c r="K2" s="1840"/>
      <c r="L2" s="1839"/>
      <c r="M2" s="1839"/>
    </row>
    <row r="3" spans="1:37" ht="18" customHeight="1" thickBot="1">
      <c r="A3" s="1848" t="s">
        <v>1587</v>
      </c>
      <c r="B3" s="1849">
        <f ca="1">IF(ISERROR(D2/F43),0,ROUND(D2/F43,0))</f>
        <v>62914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4" t="s">
        <v>1397</v>
      </c>
      <c r="C6" s="1295">
        <f ca="1">ROUND(F6*F8*F7*(1-F9),0)</f>
        <v>2358459</v>
      </c>
      <c r="D6" s="164" t="s">
        <v>3027</v>
      </c>
      <c r="E6" s="347" t="s">
        <v>1399</v>
      </c>
      <c r="F6" s="348">
        <f ca="1">INDIRECT("'数据-取费表'!u"&amp;$G$1)</f>
        <v>10.5</v>
      </c>
      <c r="G6" s="1850"/>
      <c r="H6" s="1290" t="s">
        <v>1031</v>
      </c>
      <c r="I6" s="3204" t="s">
        <v>1397</v>
      </c>
      <c r="J6" s="346">
        <f ca="1">ROUND(M6*M8*M7*(1-M9),0)</f>
        <v>0</v>
      </c>
      <c r="K6" s="1833" t="s">
        <v>3028</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683.76</v>
      </c>
      <c r="G7" s="1850"/>
      <c r="H7" s="349"/>
      <c r="I7" s="3205"/>
      <c r="J7" s="351"/>
      <c r="K7" s="352"/>
      <c r="L7" s="347" t="s">
        <v>1400</v>
      </c>
      <c r="M7" s="348">
        <f ca="1">F7</f>
        <v>683.76</v>
      </c>
    </row>
    <row r="8" spans="1:37" ht="18" customHeight="1">
      <c r="A8" s="349"/>
      <c r="B8" s="3205"/>
      <c r="C8" s="351"/>
      <c r="D8" s="352"/>
      <c r="E8" s="347" t="s">
        <v>1401</v>
      </c>
      <c r="F8" s="348">
        <f ca="1">INDIRECT("'数据-取费表'!ai"&amp;$G$1)</f>
        <v>365</v>
      </c>
      <c r="G8" s="1850"/>
      <c r="H8" s="349"/>
      <c r="I8" s="3205"/>
      <c r="J8" s="351"/>
      <c r="K8" s="352"/>
      <c r="L8" s="347" t="s">
        <v>1401</v>
      </c>
      <c r="M8" s="348">
        <f ca="1">INDIRECT("'数据-取费表'!ai"&amp;$G$1)</f>
        <v>365</v>
      </c>
    </row>
    <row r="9" spans="1:37" ht="18" customHeight="1">
      <c r="A9" s="349"/>
      <c r="B9" s="3206"/>
      <c r="C9" s="351"/>
      <c r="D9" s="352"/>
      <c r="E9" s="347" t="s">
        <v>1402</v>
      </c>
      <c r="F9" s="357">
        <f ca="1">INDIRECT("'数据-取费表'!w"&amp;$G$1)</f>
        <v>0.1</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3038</v>
      </c>
      <c r="E10" s="358" t="s">
        <v>1404</v>
      </c>
      <c r="F10" s="1365" t="s">
        <v>3166</v>
      </c>
      <c r="G10" s="1850"/>
      <c r="H10" s="1290" t="s">
        <v>1035</v>
      </c>
      <c r="I10" s="1822" t="s">
        <v>1403</v>
      </c>
      <c r="J10" s="346">
        <f ca="1">ROUND(IF(M10="押一",J6/12*M11,IF(M10="押二",J6/12*2*M11,IF(M10="押三",J6/12*3*M11,J11*M11))),0)</f>
        <v>0</v>
      </c>
      <c r="K10" s="1834" t="s">
        <v>3040</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2897484</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2393160</v>
      </c>
      <c r="D14" s="1799" t="s">
        <v>1412</v>
      </c>
      <c r="E14" s="1793"/>
      <c r="F14" s="364"/>
      <c r="G14" s="1850"/>
      <c r="H14" s="1201" t="s">
        <v>1031</v>
      </c>
      <c r="I14" s="347" t="s">
        <v>1413</v>
      </c>
      <c r="J14" s="24">
        <f ca="1">C29</f>
        <v>3714723</v>
      </c>
      <c r="K14" s="15"/>
      <c r="L14" s="979"/>
      <c r="M14" s="980"/>
    </row>
    <row r="15" spans="1:37" s="1857" customFormat="1" ht="18" customHeight="1" thickBot="1">
      <c r="A15" s="1201" t="s">
        <v>1032</v>
      </c>
      <c r="B15" s="347" t="s">
        <v>1414</v>
      </c>
      <c r="C15" s="24">
        <f ca="1">ROUND(C14*F15,0)</f>
        <v>71795</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87720</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31999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35897</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2637604</v>
      </c>
      <c r="D19" s="140" t="s">
        <v>1430</v>
      </c>
      <c r="E19" s="1817"/>
      <c r="F19" s="26"/>
      <c r="G19" s="1850"/>
      <c r="H19" s="1201" t="s">
        <v>1032</v>
      </c>
      <c r="I19" s="347" t="s">
        <v>1431</v>
      </c>
      <c r="J19" s="24">
        <f ca="1">IF(K19="按租金收入计税",ROUND(J6*M19/(1+'数据-取费表'!C42),0),ROUND(C29*M19*0.7,0))</f>
        <v>31204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52752</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55721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193947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-87720</v>
      </c>
      <c r="K25" s="1344" t="s">
        <v>1458</v>
      </c>
      <c r="L25" s="1345"/>
      <c r="M25" s="1346"/>
    </row>
    <row r="26" spans="1:37" ht="18" customHeight="1">
      <c r="A26" s="1201" t="s">
        <v>1030</v>
      </c>
      <c r="B26" s="347" t="s">
        <v>1459</v>
      </c>
      <c r="C26" s="24">
        <f ca="1">ROUND((C19+C20)*F26,0)</f>
        <v>538071</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3714723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503412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3167</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55721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4346</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1857995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43017839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29.65</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62914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-51651505</v>
      </c>
      <c r="D45" s="1938" t="s">
        <v>1598</v>
      </c>
      <c r="E45" s="1865"/>
      <c r="F45" s="1865"/>
      <c r="O45" s="1868" t="s">
        <v>1513</v>
      </c>
      <c r="P45" s="1838"/>
      <c r="Q45" s="1838"/>
      <c r="R45" s="1838"/>
    </row>
    <row r="46" spans="1:18" s="1841" customFormat="1" ht="13.5" thickBot="1">
      <c r="A46" s="1869" t="s">
        <v>1514</v>
      </c>
      <c r="C46" s="1870">
        <f ca="1">ROUND(C45/10000,0)</f>
        <v>-5165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3164</v>
      </c>
      <c r="K47" s="1881" t="s">
        <v>1521</v>
      </c>
      <c r="L47" s="1882">
        <f ca="1">INDIRECT("'数据-取费表'!d"&amp;$G$1)</f>
        <v>50</v>
      </c>
      <c r="M47" s="1837" t="str">
        <f>IF(ISNUMBER(FIND("住宅",C1)),"住宅","非住宅")</f>
        <v>非住宅</v>
      </c>
      <c r="O47" s="1883" t="s">
        <v>1036</v>
      </c>
      <c r="P47" s="1884" t="s">
        <v>1522</v>
      </c>
      <c r="Q47" s="1885">
        <f ca="1">C40+J29</f>
        <v>43017839</v>
      </c>
      <c r="R47" s="1885" t="s">
        <v>1523</v>
      </c>
    </row>
    <row r="48" spans="1:18" s="1841" customFormat="1" ht="28.5" thickBot="1">
      <c r="A48" s="1359" t="s">
        <v>1131</v>
      </c>
      <c r="B48" s="345" t="s">
        <v>1395</v>
      </c>
      <c r="C48" s="1816">
        <f ca="1">C49+C53+C55</f>
        <v>0</v>
      </c>
      <c r="D48" s="1361"/>
      <c r="E48" s="1362"/>
      <c r="F48" s="1181"/>
      <c r="G48" s="792"/>
      <c r="H48" s="793"/>
      <c r="I48" s="1886" t="s">
        <v>1524</v>
      </c>
      <c r="J48" s="1887" t="s">
        <v>3165</v>
      </c>
      <c r="K48" s="1888" t="s">
        <v>1525</v>
      </c>
      <c r="L48" s="1889">
        <f ca="1">INDIRECT("'数据-取费表'!f"&amp;$G$1)</f>
        <v>29.65</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3714723</v>
      </c>
      <c r="R49" s="1885" t="s">
        <v>1523</v>
      </c>
    </row>
    <row r="50" spans="1:18" s="1841" customFormat="1" ht="13.5"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26339131</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29.65</v>
      </c>
      <c r="R52" s="1885" t="s">
        <v>1540</v>
      </c>
    </row>
    <row r="53" spans="1:18" s="1841" customFormat="1" ht="30.75" customHeight="1" thickBot="1">
      <c r="A53" s="1360" t="s">
        <v>1133</v>
      </c>
      <c r="B53" s="369" t="s">
        <v>1403</v>
      </c>
      <c r="C53" s="361">
        <f ca="1">ROUND(IF(F53="押一",C49/12*F11,IF(F53="押二",C49/12*2*F11,IF(F53="押三",C49/12*3*F11,C54*F11))),0)</f>
        <v>0</v>
      </c>
      <c r="D53" s="1823" t="s">
        <v>3041</v>
      </c>
      <c r="E53" s="358" t="s">
        <v>1404</v>
      </c>
      <c r="F53" s="1365"/>
      <c r="I53" s="1904" t="s">
        <v>1541</v>
      </c>
      <c r="J53" s="2950">
        <f ca="1">IF(M47="住宅",IF(D1="——",MAX(J51,L48),MAX(J51,L48-'数据-取费表'!B24)),IF(D1="——",MIN(J51,L48),MIN(J51,L48-'数据-取费表'!B24)))</f>
        <v>29.65</v>
      </c>
      <c r="K53" s="3202" t="s">
        <v>1542</v>
      </c>
      <c r="L53" s="3203"/>
      <c r="O53" s="1883" t="s">
        <v>1042</v>
      </c>
      <c r="P53" s="1884" t="s">
        <v>1543</v>
      </c>
      <c r="Q53" s="1885">
        <f ca="1">Q47+Q48</f>
        <v>43017839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2897484</v>
      </c>
      <c r="D56" s="1912"/>
      <c r="E56" s="1913"/>
      <c r="F56" s="1905"/>
      <c r="I56" s="1914" t="s">
        <v>1548</v>
      </c>
      <c r="J56" s="1915" t="s">
        <v>3160</v>
      </c>
      <c r="K56" s="1886" t="s">
        <v>1549</v>
      </c>
      <c r="L56" s="1889" t="str">
        <f ca="1">IF(L48&lt;J51,"——",L48-J51)</f>
        <v>——</v>
      </c>
      <c r="O56" s="1883" t="s">
        <v>1036</v>
      </c>
      <c r="P56" s="1884" t="s">
        <v>1522</v>
      </c>
      <c r="Q56" s="1885">
        <f ca="1">C40+J29</f>
        <v>43017839</v>
      </c>
      <c r="R56" s="1885" t="s">
        <v>1523</v>
      </c>
    </row>
    <row r="57" spans="1:18" s="1841" customFormat="1" ht="24.75" thickBot="1">
      <c r="A57" s="1916"/>
      <c r="B57" s="1169" t="s">
        <v>1472</v>
      </c>
      <c r="C57" s="282">
        <f ca="1">C29</f>
        <v>3714723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372899</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312832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312037</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43017839</v>
      </c>
      <c r="R62" s="1885" t="s">
        <v>1043</v>
      </c>
    </row>
    <row r="63" spans="1:18" s="1841" customFormat="1" ht="13.5"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55721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4346</v>
      </c>
      <c r="D65" s="1183" t="s">
        <v>1448</v>
      </c>
      <c r="E65" s="1169" t="s">
        <v>1449</v>
      </c>
      <c r="F65" s="376">
        <f t="shared" ca="1" si="0"/>
        <v>1.5E-3</v>
      </c>
      <c r="I65" s="1927" t="s">
        <v>1573</v>
      </c>
      <c r="J65" s="1928">
        <v>40</v>
      </c>
      <c r="K65" s="1928">
        <v>30</v>
      </c>
      <c r="L65" s="1928">
        <v>50</v>
      </c>
      <c r="M65" s="1930">
        <v>0.02</v>
      </c>
      <c r="O65" s="1883" t="s">
        <v>1036</v>
      </c>
      <c r="P65" s="1884" t="s">
        <v>1574</v>
      </c>
      <c r="Q65" s="1885">
        <f ca="1">C40+J29</f>
        <v>43017839</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-372899</v>
      </c>
      <c r="D67" s="1182" t="s">
        <v>1458</v>
      </c>
      <c r="E67" s="1187"/>
      <c r="F67" s="1188"/>
      <c r="O67" s="1893" t="s">
        <v>1038</v>
      </c>
      <c r="P67" s="1884" t="s">
        <v>1556</v>
      </c>
      <c r="Q67" s="1931">
        <f ca="1">L51</f>
        <v>26339131</v>
      </c>
      <c r="R67" s="1885" t="s">
        <v>1576</v>
      </c>
    </row>
    <row r="68" spans="1:18" s="1841" customFormat="1" ht="16.5" thickBot="1">
      <c r="A68" s="1166" t="s">
        <v>1028</v>
      </c>
      <c r="B68" s="1167" t="s">
        <v>1479</v>
      </c>
      <c r="C68" s="346">
        <f ca="1">ROUND(C67*(1-((1+F70)/(1+F68))^F69)/(F68-F70),0)</f>
        <v>-8633666</v>
      </c>
      <c r="D68" s="1184" t="s">
        <v>1463</v>
      </c>
      <c r="E68" s="1169" t="s">
        <v>1464</v>
      </c>
      <c r="F68" s="357">
        <f ca="1">F40</f>
        <v>0.05</v>
      </c>
      <c r="O68" s="1893" t="s">
        <v>1039</v>
      </c>
      <c r="P68" s="1932" t="s">
        <v>1577</v>
      </c>
      <c r="Q68" s="1885">
        <f ca="1">ROUND(Q69-Q70*Q71,0)</f>
        <v>1626196</v>
      </c>
      <c r="R68" s="1885" t="s">
        <v>1047</v>
      </c>
    </row>
    <row r="69" spans="1:18" s="1841" customFormat="1" ht="13.5" thickBot="1">
      <c r="A69" s="1170"/>
      <c r="B69" s="1171"/>
      <c r="C69" s="351"/>
      <c r="D69" s="1189" t="s">
        <v>1467</v>
      </c>
      <c r="E69" s="1169" t="s">
        <v>1468</v>
      </c>
      <c r="F69" s="379">
        <f ca="1">F41</f>
        <v>29.65</v>
      </c>
      <c r="O69" s="1893" t="s">
        <v>1044</v>
      </c>
      <c r="P69" s="1932" t="s">
        <v>1578</v>
      </c>
      <c r="Q69" s="1885">
        <f ca="1">C39</f>
        <v>1857995</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2897484</v>
      </c>
      <c r="R70" s="1885" t="s">
        <v>1523</v>
      </c>
    </row>
    <row r="71" spans="1:18" s="1841" customFormat="1" ht="13.5" thickBot="1">
      <c r="A71" s="1190" t="s">
        <v>1029</v>
      </c>
      <c r="B71" s="1191" t="s">
        <v>1481</v>
      </c>
      <c r="C71" s="382">
        <f ca="1">ROUND(C68/F71,0)</f>
        <v>-12627</v>
      </c>
      <c r="D71" s="1192" t="s">
        <v>1482</v>
      </c>
      <c r="E71" s="1193" t="s">
        <v>1483</v>
      </c>
      <c r="F71" s="385">
        <f ca="1">F43</f>
        <v>683.76</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231799</v>
      </c>
      <c r="D75" s="1841"/>
      <c r="E75" s="1841"/>
      <c r="F75" s="1841"/>
      <c r="K75" s="1867"/>
      <c r="L75" s="1841"/>
      <c r="O75" s="1883" t="s">
        <v>1042</v>
      </c>
      <c r="P75" s="1884" t="s">
        <v>1543</v>
      </c>
      <c r="Q75" s="1885">
        <f ca="1">Q65+Q66</f>
        <v>43017839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0" t="s">
        <v>2702</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7"/>
      <c r="D2" s="112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7700.0099999999984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6" t="s">
        <v>2560</v>
      </c>
      <c r="Q15" s="1809" t="str">
        <f t="shared" si="6"/>
        <v>产业集聚程度</v>
      </c>
      <c r="R15" s="774" t="s">
        <v>17</v>
      </c>
      <c r="S15" s="775">
        <f t="shared" si="0"/>
        <v>100</v>
      </c>
      <c r="T15" s="774" t="s">
        <v>17</v>
      </c>
      <c r="U15" s="775">
        <f t="shared" si="1"/>
        <v>100</v>
      </c>
      <c r="V15" s="774" t="s">
        <v>17</v>
      </c>
      <c r="W15" s="775">
        <f t="shared" si="2"/>
        <v>100</v>
      </c>
      <c r="X15" s="1812"/>
      <c r="Y15" s="3266"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7"/>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7"/>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67"/>
      <c r="Q18" s="1809"/>
      <c r="R18" s="774"/>
      <c r="S18" s="775"/>
      <c r="T18" s="774"/>
      <c r="U18" s="775"/>
      <c r="V18" s="774"/>
      <c r="W18" s="775"/>
      <c r="X18" s="1812"/>
      <c r="Y18" s="3267"/>
      <c r="Z18" s="1813"/>
      <c r="AA18" s="1810">
        <v>1</v>
      </c>
      <c r="AB18" s="1810">
        <v>1</v>
      </c>
      <c r="AC18" s="1810">
        <v>1</v>
      </c>
    </row>
    <row r="19" spans="1:29" ht="42.75">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7"/>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67"/>
      <c r="Q20" s="1809"/>
      <c r="R20" s="774"/>
      <c r="S20" s="775"/>
      <c r="T20" s="774"/>
      <c r="U20" s="775"/>
      <c r="V20" s="774"/>
      <c r="W20" s="775"/>
      <c r="X20" s="1812"/>
      <c r="Y20" s="3267"/>
      <c r="Z20" s="1813"/>
      <c r="AA20" s="1810">
        <v>1</v>
      </c>
      <c r="AB20" s="1810">
        <v>1</v>
      </c>
      <c r="AC20" s="1810">
        <v>1</v>
      </c>
    </row>
    <row r="21" spans="1:29" ht="28.5">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7"/>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67"/>
      <c r="Q22" s="1809"/>
      <c r="R22" s="774"/>
      <c r="S22" s="775"/>
      <c r="T22" s="774"/>
      <c r="U22" s="775"/>
      <c r="V22" s="774"/>
      <c r="W22" s="775"/>
      <c r="X22" s="1812"/>
      <c r="Y22" s="3267"/>
      <c r="Z22" s="1813"/>
      <c r="AA22" s="1810">
        <v>1</v>
      </c>
      <c r="AB22" s="1810">
        <v>1</v>
      </c>
      <c r="AC22" s="1810">
        <v>1</v>
      </c>
    </row>
    <row r="23" spans="1:29" ht="71.25">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7"/>
      <c r="Q23" s="1809" t="str">
        <f>B23</f>
        <v>环境质量</v>
      </c>
      <c r="R23" s="774" t="s">
        <v>17</v>
      </c>
      <c r="S23" s="775">
        <f>F23</f>
        <v>100</v>
      </c>
      <c r="T23" s="774" t="s">
        <v>17</v>
      </c>
      <c r="U23" s="775">
        <f>H23</f>
        <v>100</v>
      </c>
      <c r="V23" s="774" t="s">
        <v>17</v>
      </c>
      <c r="W23" s="775">
        <f>J23</f>
        <v>100</v>
      </c>
      <c r="X23" s="1812"/>
      <c r="Y23" s="3267"/>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67"/>
      <c r="Q24" s="1809"/>
      <c r="R24" s="774"/>
      <c r="S24" s="775"/>
      <c r="T24" s="774"/>
      <c r="U24" s="775"/>
      <c r="V24" s="774"/>
      <c r="W24" s="775"/>
      <c r="X24" s="1812"/>
      <c r="Y24" s="326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7"/>
      <c r="Q25" s="1809">
        <f>B25</f>
        <v>111</v>
      </c>
      <c r="R25" s="774" t="s">
        <v>17</v>
      </c>
      <c r="S25" s="775">
        <f>F25</f>
        <v>100</v>
      </c>
      <c r="T25" s="774" t="s">
        <v>17</v>
      </c>
      <c r="U25" s="775">
        <f>H25</f>
        <v>100</v>
      </c>
      <c r="V25" s="774" t="s">
        <v>17</v>
      </c>
      <c r="W25" s="775">
        <f>J25</f>
        <v>100</v>
      </c>
      <c r="X25" s="1812"/>
      <c r="Y25" s="326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7"/>
      <c r="Q26" s="1809">
        <f t="shared" ref="Q26:Q40" si="11">B26</f>
        <v>111</v>
      </c>
      <c r="R26" s="774" t="s">
        <v>17</v>
      </c>
      <c r="S26" s="775">
        <f>F26</f>
        <v>100</v>
      </c>
      <c r="T26" s="774" t="s">
        <v>17</v>
      </c>
      <c r="U26" s="775">
        <f>H26</f>
        <v>100</v>
      </c>
      <c r="V26" s="774" t="s">
        <v>17</v>
      </c>
      <c r="W26" s="775">
        <f>J26</f>
        <v>100</v>
      </c>
      <c r="X26" s="1812"/>
      <c r="Y26" s="326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7"/>
      <c r="Q27" s="1794">
        <f t="shared" si="11"/>
        <v>111</v>
      </c>
      <c r="R27" s="770" t="s">
        <v>17</v>
      </c>
      <c r="S27" s="771">
        <f>F27</f>
        <v>100</v>
      </c>
      <c r="T27" s="770" t="s">
        <v>17</v>
      </c>
      <c r="U27" s="771">
        <f>H27</f>
        <v>100</v>
      </c>
      <c r="V27" s="770" t="s">
        <v>17</v>
      </c>
      <c r="W27" s="771">
        <f>J27</f>
        <v>100</v>
      </c>
      <c r="X27" s="772"/>
      <c r="Y27" s="326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7"/>
      <c r="Q28" s="1809">
        <f t="shared" si="11"/>
        <v>111</v>
      </c>
      <c r="R28" s="774" t="s">
        <v>17</v>
      </c>
      <c r="S28" s="775">
        <f t="shared" ref="S28:S40" si="12">F28</f>
        <v>100</v>
      </c>
      <c r="T28" s="774" t="s">
        <v>17</v>
      </c>
      <c r="U28" s="775">
        <f t="shared" ref="U28:U40" si="13">H28</f>
        <v>100</v>
      </c>
      <c r="V28" s="774" t="s">
        <v>17</v>
      </c>
      <c r="W28" s="775">
        <f t="shared" ref="W28:W40" si="14">J28</f>
        <v>100</v>
      </c>
      <c r="X28" s="1812"/>
      <c r="Y28" s="3267"/>
      <c r="Z28" s="1813">
        <f t="shared" ref="Z28:Z40" si="15">Q28</f>
        <v>111</v>
      </c>
      <c r="AA28" s="1810">
        <f t="shared" si="3"/>
        <v>1</v>
      </c>
      <c r="AB28" s="1810">
        <f t="shared" si="4"/>
        <v>1</v>
      </c>
      <c r="AC28" s="1810">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2" t="s">
        <v>2565</v>
      </c>
      <c r="Q29" s="1809" t="str">
        <f t="shared" si="11"/>
        <v>建筑类型</v>
      </c>
      <c r="R29" s="774" t="s">
        <v>17</v>
      </c>
      <c r="S29" s="775">
        <f t="shared" si="12"/>
        <v>100</v>
      </c>
      <c r="T29" s="774" t="s">
        <v>17</v>
      </c>
      <c r="U29" s="775">
        <f t="shared" si="13"/>
        <v>100</v>
      </c>
      <c r="V29" s="774" t="s">
        <v>17</v>
      </c>
      <c r="W29" s="775">
        <f t="shared" si="14"/>
        <v>100</v>
      </c>
      <c r="X29" s="1812"/>
      <c r="Y29" s="3271"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1"/>
      <c r="Q30" s="776" t="str">
        <f t="shared" si="11"/>
        <v>项目建筑规模</v>
      </c>
      <c r="R30" s="777" t="s">
        <v>17</v>
      </c>
      <c r="S30" s="778" t="e">
        <f t="shared" si="12"/>
        <v>#N/A</v>
      </c>
      <c r="T30" s="777" t="s">
        <v>17</v>
      </c>
      <c r="U30" s="778" t="e">
        <f t="shared" si="13"/>
        <v>#N/A</v>
      </c>
      <c r="V30" s="777" t="s">
        <v>17</v>
      </c>
      <c r="W30" s="778" t="e">
        <f t="shared" si="14"/>
        <v>#N/A</v>
      </c>
      <c r="X30" s="779"/>
      <c r="Y30" s="3271"/>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1"/>
      <c r="Q31" s="1809" t="str">
        <f t="shared" si="11"/>
        <v>建筑结构</v>
      </c>
      <c r="R31" s="774" t="s">
        <v>17</v>
      </c>
      <c r="S31" s="775">
        <f t="shared" si="12"/>
        <v>100</v>
      </c>
      <c r="T31" s="774" t="s">
        <v>17</v>
      </c>
      <c r="U31" s="775">
        <f t="shared" si="13"/>
        <v>100</v>
      </c>
      <c r="V31" s="774" t="s">
        <v>17</v>
      </c>
      <c r="W31" s="775">
        <f t="shared" si="14"/>
        <v>100</v>
      </c>
      <c r="X31" s="1812"/>
      <c r="Y31" s="3271"/>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1"/>
      <c r="Q32" s="1809" t="str">
        <f t="shared" si="11"/>
        <v>公共部分装修</v>
      </c>
      <c r="R32" s="774" t="s">
        <v>17</v>
      </c>
      <c r="S32" s="775">
        <f t="shared" si="12"/>
        <v>100</v>
      </c>
      <c r="T32" s="774" t="s">
        <v>17</v>
      </c>
      <c r="U32" s="775">
        <f t="shared" si="13"/>
        <v>100</v>
      </c>
      <c r="V32" s="774" t="s">
        <v>17</v>
      </c>
      <c r="W32" s="775">
        <f t="shared" si="14"/>
        <v>100</v>
      </c>
      <c r="X32" s="1812"/>
      <c r="Y32" s="3271"/>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1"/>
      <c r="Q33" s="1809" t="str">
        <f t="shared" si="11"/>
        <v>成新度</v>
      </c>
      <c r="R33" s="774" t="s">
        <v>17</v>
      </c>
      <c r="S33" s="775" t="e">
        <f t="shared" si="12"/>
        <v>#N/A</v>
      </c>
      <c r="T33" s="774" t="s">
        <v>17</v>
      </c>
      <c r="U33" s="775" t="e">
        <f t="shared" si="13"/>
        <v>#N/A</v>
      </c>
      <c r="V33" s="774" t="s">
        <v>17</v>
      </c>
      <c r="W33" s="775" t="e">
        <f t="shared" si="14"/>
        <v>#N/A</v>
      </c>
      <c r="X33" s="1812"/>
      <c r="Y33" s="3271"/>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1"/>
      <c r="Q34" s="1794" t="str">
        <f t="shared" si="11"/>
        <v>物业管理</v>
      </c>
      <c r="R34" s="770" t="s">
        <v>17</v>
      </c>
      <c r="S34" s="771">
        <f t="shared" si="12"/>
        <v>100</v>
      </c>
      <c r="T34" s="770" t="s">
        <v>17</v>
      </c>
      <c r="U34" s="771">
        <f t="shared" si="13"/>
        <v>100</v>
      </c>
      <c r="V34" s="770" t="s">
        <v>17</v>
      </c>
      <c r="W34" s="771">
        <f t="shared" si="14"/>
        <v>100</v>
      </c>
      <c r="X34" s="772"/>
      <c r="Y34" s="327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1" t="s">
        <v>2565</v>
      </c>
      <c r="Q35" s="1809" t="str">
        <f t="shared" si="11"/>
        <v>市政基础设施</v>
      </c>
      <c r="R35" s="774" t="s">
        <v>17</v>
      </c>
      <c r="S35" s="775">
        <f t="shared" si="12"/>
        <v>100</v>
      </c>
      <c r="T35" s="774" t="s">
        <v>17</v>
      </c>
      <c r="U35" s="775">
        <f t="shared" si="13"/>
        <v>100</v>
      </c>
      <c r="V35" s="774" t="s">
        <v>17</v>
      </c>
      <c r="W35" s="775">
        <f t="shared" si="14"/>
        <v>100</v>
      </c>
      <c r="X35" s="1812"/>
      <c r="Y35" s="3271"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1"/>
      <c r="Q36" s="1809" t="str">
        <f t="shared" si="11"/>
        <v>内部装修</v>
      </c>
      <c r="R36" s="774" t="s">
        <v>17</v>
      </c>
      <c r="S36" s="775">
        <f t="shared" si="12"/>
        <v>100</v>
      </c>
      <c r="T36" s="774" t="s">
        <v>17</v>
      </c>
      <c r="U36" s="775">
        <f t="shared" si="13"/>
        <v>100</v>
      </c>
      <c r="V36" s="774" t="s">
        <v>17</v>
      </c>
      <c r="W36" s="775">
        <f t="shared" si="14"/>
        <v>100</v>
      </c>
      <c r="X36" s="1812"/>
      <c r="Y36" s="3271"/>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1"/>
      <c r="Q37" s="1809" t="str">
        <f t="shared" si="11"/>
        <v>内部装修状况</v>
      </c>
      <c r="R37" s="774" t="s">
        <v>17</v>
      </c>
      <c r="S37" s="775">
        <f t="shared" si="12"/>
        <v>100</v>
      </c>
      <c r="T37" s="774" t="s">
        <v>17</v>
      </c>
      <c r="U37" s="775">
        <f t="shared" si="13"/>
        <v>100</v>
      </c>
      <c r="V37" s="774" t="s">
        <v>17</v>
      </c>
      <c r="W37" s="775">
        <f t="shared" si="14"/>
        <v>100</v>
      </c>
      <c r="X37" s="1812"/>
      <c r="Y37" s="327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1"/>
      <c r="Q38" s="776">
        <f t="shared" si="11"/>
        <v>111</v>
      </c>
      <c r="R38" s="777" t="s">
        <v>17</v>
      </c>
      <c r="S38" s="778">
        <f t="shared" si="12"/>
        <v>100</v>
      </c>
      <c r="T38" s="777" t="s">
        <v>17</v>
      </c>
      <c r="U38" s="778">
        <f t="shared" si="13"/>
        <v>100</v>
      </c>
      <c r="V38" s="777" t="s">
        <v>17</v>
      </c>
      <c r="W38" s="778">
        <f t="shared" si="14"/>
        <v>100</v>
      </c>
      <c r="X38" s="779"/>
      <c r="Y38" s="327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1"/>
      <c r="Q39" s="1809">
        <f t="shared" si="11"/>
        <v>111</v>
      </c>
      <c r="R39" s="774" t="s">
        <v>17</v>
      </c>
      <c r="S39" s="775">
        <f t="shared" si="12"/>
        <v>100</v>
      </c>
      <c r="T39" s="774" t="s">
        <v>17</v>
      </c>
      <c r="U39" s="775">
        <f t="shared" si="13"/>
        <v>100</v>
      </c>
      <c r="V39" s="774" t="s">
        <v>17</v>
      </c>
      <c r="W39" s="775">
        <f t="shared" si="14"/>
        <v>100</v>
      </c>
      <c r="X39" s="1812"/>
      <c r="Y39" s="3271"/>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2"/>
      <c r="Q40" s="1809">
        <f t="shared" si="11"/>
        <v>111</v>
      </c>
      <c r="R40" s="774" t="s">
        <v>17</v>
      </c>
      <c r="S40" s="775">
        <f t="shared" si="12"/>
        <v>100</v>
      </c>
      <c r="T40" s="774" t="s">
        <v>17</v>
      </c>
      <c r="U40" s="775">
        <f t="shared" si="13"/>
        <v>100</v>
      </c>
      <c r="V40" s="774" t="s">
        <v>17</v>
      </c>
      <c r="W40" s="775">
        <f t="shared" si="14"/>
        <v>100</v>
      </c>
      <c r="X40" s="1812"/>
      <c r="Y40" s="3272"/>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64" t="str">
        <f>A41</f>
        <v>成交单价（元/平方米）</v>
      </c>
      <c r="Q41" s="3264"/>
      <c r="R41" s="3265">
        <f>E41</f>
        <v>0</v>
      </c>
      <c r="S41" s="3265"/>
      <c r="T41" s="3265">
        <f>G41</f>
        <v>0</v>
      </c>
      <c r="U41" s="3265"/>
      <c r="V41" s="3265">
        <f>I41</f>
        <v>0</v>
      </c>
      <c r="W41" s="3265"/>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64" t="str">
        <f>A42</f>
        <v>比较价值（元/平方米）</v>
      </c>
      <c r="Q42" s="3264"/>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61" t="str">
        <f>A43</f>
        <v>估价对象XX用房的比较价值（楼面单价，元/平方米）</v>
      </c>
      <c r="Q43" s="3262"/>
      <c r="R43" s="3263" t="e">
        <f>IF(F1="售价",ROUND(AVERAGE(R42:V42),0),ROUND(AVERAGE(R42:V42),1))</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5"/>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2" t="s">
        <v>2549</v>
      </c>
      <c r="Q7" s="3260"/>
      <c r="R7" s="770" t="s">
        <v>17</v>
      </c>
      <c r="S7" s="771">
        <f t="shared" ref="S7:S14" si="0">F7</f>
        <v>0</v>
      </c>
      <c r="T7" s="770" t="s">
        <v>17</v>
      </c>
      <c r="U7" s="771">
        <f t="shared" ref="U7:U14" si="1">H7</f>
        <v>0</v>
      </c>
      <c r="V7" s="770" t="s">
        <v>17</v>
      </c>
      <c r="W7" s="771">
        <f t="shared" ref="W7:W14"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4" t="s">
        <v>2555</v>
      </c>
      <c r="Q9" s="1794"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4"/>
      <c r="Q11" s="1794">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6" t="s">
        <v>2560</v>
      </c>
      <c r="Q14" s="1809" t="str">
        <f t="shared" si="6"/>
        <v>交通便捷度</v>
      </c>
      <c r="R14" s="774" t="s">
        <v>17</v>
      </c>
      <c r="S14" s="775">
        <f t="shared" si="0"/>
        <v>100</v>
      </c>
      <c r="T14" s="774" t="s">
        <v>17</v>
      </c>
      <c r="U14" s="775">
        <f t="shared" si="1"/>
        <v>100</v>
      </c>
      <c r="V14" s="774" t="s">
        <v>17</v>
      </c>
      <c r="W14" s="775">
        <f t="shared" si="2"/>
        <v>100</v>
      </c>
      <c r="X14" s="1812"/>
      <c r="Y14" s="3266"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7"/>
      <c r="Q15" s="1809"/>
      <c r="R15" s="774"/>
      <c r="S15" s="775"/>
      <c r="T15" s="774"/>
      <c r="U15" s="775"/>
      <c r="V15" s="774"/>
      <c r="W15" s="775"/>
      <c r="X15" s="1812"/>
      <c r="Y15" s="3267"/>
      <c r="Z15" s="1813"/>
      <c r="AA15" s="1810">
        <v>1</v>
      </c>
      <c r="AB15" s="1810">
        <v>1</v>
      </c>
      <c r="AC15" s="1810">
        <v>1</v>
      </c>
    </row>
    <row r="16" spans="1:29" ht="42.75">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7"/>
      <c r="Q16" s="1809" t="str">
        <f>B16</f>
        <v>公共配套设施</v>
      </c>
      <c r="R16" s="774" t="s">
        <v>17</v>
      </c>
      <c r="S16" s="775">
        <f>F16</f>
        <v>100</v>
      </c>
      <c r="T16" s="774" t="s">
        <v>17</v>
      </c>
      <c r="U16" s="775">
        <f>H16</f>
        <v>100</v>
      </c>
      <c r="V16" s="774" t="s">
        <v>17</v>
      </c>
      <c r="W16" s="775">
        <f>J16</f>
        <v>100</v>
      </c>
      <c r="X16" s="1812"/>
      <c r="Y16" s="3267"/>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67"/>
      <c r="Q17" s="1809"/>
      <c r="R17" s="774"/>
      <c r="S17" s="775"/>
      <c r="T17" s="774"/>
      <c r="U17" s="775"/>
      <c r="V17" s="774"/>
      <c r="W17" s="775"/>
      <c r="X17" s="1812"/>
      <c r="Y17" s="3267"/>
      <c r="Z17" s="1813"/>
      <c r="AA17" s="1810">
        <v>1</v>
      </c>
      <c r="AB17" s="1810">
        <v>1</v>
      </c>
      <c r="AC17" s="1810">
        <v>1</v>
      </c>
    </row>
    <row r="18" spans="1:29" ht="28.5">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7"/>
      <c r="Q18" s="1809" t="str">
        <f>B18</f>
        <v>基础设施水平</v>
      </c>
      <c r="R18" s="774" t="s">
        <v>17</v>
      </c>
      <c r="S18" s="775">
        <f>F18</f>
        <v>100</v>
      </c>
      <c r="T18" s="774" t="s">
        <v>17</v>
      </c>
      <c r="U18" s="775">
        <f>H18</f>
        <v>100</v>
      </c>
      <c r="V18" s="774" t="s">
        <v>17</v>
      </c>
      <c r="W18" s="775">
        <f>J18</f>
        <v>100</v>
      </c>
      <c r="X18" s="1812"/>
      <c r="Y18" s="3267"/>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67"/>
      <c r="Q19" s="1809"/>
      <c r="R19" s="774"/>
      <c r="S19" s="775"/>
      <c r="T19" s="774"/>
      <c r="U19" s="775"/>
      <c r="V19" s="774"/>
      <c r="W19" s="775"/>
      <c r="X19" s="1812"/>
      <c r="Y19" s="3267"/>
      <c r="Z19" s="1813"/>
      <c r="AA19" s="1810">
        <v>1</v>
      </c>
      <c r="AB19" s="1810">
        <v>1</v>
      </c>
      <c r="AC19" s="1810">
        <v>1</v>
      </c>
    </row>
    <row r="20" spans="1:29" ht="57">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7"/>
      <c r="Q20" s="1809" t="str">
        <f>B20</f>
        <v>自然及人文环境</v>
      </c>
      <c r="R20" s="774" t="s">
        <v>17</v>
      </c>
      <c r="S20" s="775">
        <f>F20</f>
        <v>100</v>
      </c>
      <c r="T20" s="774" t="s">
        <v>17</v>
      </c>
      <c r="U20" s="775">
        <f>H20</f>
        <v>100</v>
      </c>
      <c r="V20" s="774" t="s">
        <v>17</v>
      </c>
      <c r="W20" s="775">
        <f>J20</f>
        <v>100</v>
      </c>
      <c r="X20" s="1812"/>
      <c r="Y20" s="326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7"/>
      <c r="Q21" s="1809"/>
      <c r="R21" s="774"/>
      <c r="S21" s="775"/>
      <c r="T21" s="774"/>
      <c r="U21" s="775"/>
      <c r="V21" s="774"/>
      <c r="W21" s="775"/>
      <c r="X21" s="1812"/>
      <c r="Y21" s="3267"/>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7"/>
      <c r="Q22" s="1809" t="str">
        <f>B22</f>
        <v>楼层</v>
      </c>
      <c r="R22" s="774" t="s">
        <v>17</v>
      </c>
      <c r="S22" s="775">
        <f>F22</f>
        <v>100</v>
      </c>
      <c r="T22" s="774" t="s">
        <v>17</v>
      </c>
      <c r="U22" s="775">
        <f>H22</f>
        <v>100</v>
      </c>
      <c r="V22" s="774" t="s">
        <v>17</v>
      </c>
      <c r="W22" s="775">
        <f>J22</f>
        <v>100</v>
      </c>
      <c r="X22" s="1812"/>
      <c r="Y22" s="326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7"/>
      <c r="Q23" s="1809">
        <f>B23</f>
        <v>111</v>
      </c>
      <c r="R23" s="774" t="s">
        <v>17</v>
      </c>
      <c r="S23" s="775">
        <f>F23</f>
        <v>100</v>
      </c>
      <c r="T23" s="774" t="s">
        <v>17</v>
      </c>
      <c r="U23" s="775">
        <f>H23</f>
        <v>100</v>
      </c>
      <c r="V23" s="774" t="s">
        <v>17</v>
      </c>
      <c r="W23" s="775">
        <f>J23</f>
        <v>100</v>
      </c>
      <c r="X23" s="1812"/>
      <c r="Y23" s="326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7"/>
      <c r="Q24" s="1809">
        <f t="shared" ref="Q24:Q36" si="11">B24</f>
        <v>111</v>
      </c>
      <c r="R24" s="774" t="s">
        <v>17</v>
      </c>
      <c r="S24" s="775">
        <f>F24</f>
        <v>100</v>
      </c>
      <c r="T24" s="774" t="s">
        <v>17</v>
      </c>
      <c r="U24" s="775">
        <f>H24</f>
        <v>100</v>
      </c>
      <c r="V24" s="774" t="s">
        <v>17</v>
      </c>
      <c r="W24" s="775">
        <f>J24</f>
        <v>100</v>
      </c>
      <c r="X24" s="1812"/>
      <c r="Y24" s="326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7"/>
      <c r="Q25" s="1794">
        <f t="shared" si="11"/>
        <v>111</v>
      </c>
      <c r="R25" s="770" t="s">
        <v>17</v>
      </c>
      <c r="S25" s="771">
        <f>F25</f>
        <v>100</v>
      </c>
      <c r="T25" s="770" t="s">
        <v>17</v>
      </c>
      <c r="U25" s="771">
        <f>H25</f>
        <v>100</v>
      </c>
      <c r="V25" s="770" t="s">
        <v>17</v>
      </c>
      <c r="W25" s="771">
        <f>J25</f>
        <v>100</v>
      </c>
      <c r="X25" s="772"/>
      <c r="Y25" s="3267"/>
      <c r="Z25" s="55">
        <f>Q25</f>
        <v>111</v>
      </c>
      <c r="AA25" s="1810">
        <f>D25/F25</f>
        <v>1</v>
      </c>
      <c r="AB25" s="1810">
        <f>D25/H25</f>
        <v>1</v>
      </c>
      <c r="AC25" s="1810">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2"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1"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1"/>
      <c r="Q27" s="776" t="str">
        <f t="shared" si="11"/>
        <v>项目停车位配比</v>
      </c>
      <c r="R27" s="777" t="s">
        <v>17</v>
      </c>
      <c r="S27" s="778">
        <f t="shared" si="12"/>
        <v>100</v>
      </c>
      <c r="T27" s="777" t="s">
        <v>17</v>
      </c>
      <c r="U27" s="778">
        <f t="shared" si="13"/>
        <v>100</v>
      </c>
      <c r="V27" s="777" t="s">
        <v>17</v>
      </c>
      <c r="W27" s="778">
        <f t="shared" si="14"/>
        <v>100</v>
      </c>
      <c r="X27" s="779"/>
      <c r="Y27" s="3271"/>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1"/>
      <c r="Q28" s="1809" t="str">
        <f t="shared" si="11"/>
        <v>公共部分装修</v>
      </c>
      <c r="R28" s="774" t="s">
        <v>17</v>
      </c>
      <c r="S28" s="775">
        <f t="shared" si="12"/>
        <v>100</v>
      </c>
      <c r="T28" s="774" t="s">
        <v>17</v>
      </c>
      <c r="U28" s="775">
        <f t="shared" si="13"/>
        <v>100</v>
      </c>
      <c r="V28" s="774" t="s">
        <v>17</v>
      </c>
      <c r="W28" s="775">
        <f t="shared" si="14"/>
        <v>100</v>
      </c>
      <c r="X28" s="1812"/>
      <c r="Y28" s="3271"/>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1"/>
      <c r="Q29" s="1809" t="str">
        <f t="shared" si="11"/>
        <v>成新率</v>
      </c>
      <c r="R29" s="774" t="s">
        <v>17</v>
      </c>
      <c r="S29" s="775" t="e">
        <f t="shared" si="12"/>
        <v>#N/A</v>
      </c>
      <c r="T29" s="774" t="s">
        <v>17</v>
      </c>
      <c r="U29" s="775" t="e">
        <f t="shared" si="13"/>
        <v>#N/A</v>
      </c>
      <c r="V29" s="774" t="s">
        <v>17</v>
      </c>
      <c r="W29" s="775" t="e">
        <f t="shared" si="14"/>
        <v>#N/A</v>
      </c>
      <c r="X29" s="1812"/>
      <c r="Y29" s="3271"/>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1"/>
      <c r="Q30" s="1809" t="str">
        <f t="shared" si="11"/>
        <v>物业等级</v>
      </c>
      <c r="R30" s="774" t="s">
        <v>17</v>
      </c>
      <c r="S30" s="775">
        <f t="shared" si="12"/>
        <v>100</v>
      </c>
      <c r="T30" s="774" t="s">
        <v>17</v>
      </c>
      <c r="U30" s="775">
        <f t="shared" si="13"/>
        <v>100</v>
      </c>
      <c r="V30" s="774" t="s">
        <v>17</v>
      </c>
      <c r="W30" s="775">
        <f t="shared" si="14"/>
        <v>100</v>
      </c>
      <c r="X30" s="1812"/>
      <c r="Y30" s="3271"/>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1"/>
      <c r="Q31" s="1794" t="str">
        <f t="shared" si="11"/>
        <v>停车位面积</v>
      </c>
      <c r="R31" s="770" t="s">
        <v>17</v>
      </c>
      <c r="S31" s="771" t="e">
        <f t="shared" si="12"/>
        <v>#N/A</v>
      </c>
      <c r="T31" s="770" t="s">
        <v>17</v>
      </c>
      <c r="U31" s="771" t="e">
        <f t="shared" si="13"/>
        <v>#N/A</v>
      </c>
      <c r="V31" s="770" t="s">
        <v>17</v>
      </c>
      <c r="W31" s="771" t="e">
        <f t="shared" si="14"/>
        <v>#N/A</v>
      </c>
      <c r="X31" s="772"/>
      <c r="Y31" s="327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1" t="s">
        <v>2565</v>
      </c>
      <c r="Q32" s="1809" t="str">
        <f t="shared" si="11"/>
        <v>车位类型</v>
      </c>
      <c r="R32" s="774" t="s">
        <v>17</v>
      </c>
      <c r="S32" s="775">
        <f t="shared" si="12"/>
        <v>100</v>
      </c>
      <c r="T32" s="774" t="s">
        <v>17</v>
      </c>
      <c r="U32" s="775">
        <f t="shared" si="13"/>
        <v>100</v>
      </c>
      <c r="V32" s="774" t="s">
        <v>17</v>
      </c>
      <c r="W32" s="775">
        <f t="shared" si="14"/>
        <v>100</v>
      </c>
      <c r="X32" s="1812"/>
      <c r="Y32" s="3271"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1"/>
      <c r="Q33" s="1809" t="str">
        <f t="shared" si="11"/>
        <v>是否直接入户</v>
      </c>
      <c r="R33" s="774" t="s">
        <v>17</v>
      </c>
      <c r="S33" s="775">
        <f t="shared" si="12"/>
        <v>100</v>
      </c>
      <c r="T33" s="774" t="s">
        <v>17</v>
      </c>
      <c r="U33" s="775">
        <f t="shared" si="13"/>
        <v>100</v>
      </c>
      <c r="V33" s="774" t="s">
        <v>17</v>
      </c>
      <c r="W33" s="775">
        <f t="shared" si="14"/>
        <v>100</v>
      </c>
      <c r="X33" s="1812"/>
      <c r="Y33" s="327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1"/>
      <c r="Q34" s="1809">
        <f t="shared" si="11"/>
        <v>111</v>
      </c>
      <c r="R34" s="774" t="s">
        <v>17</v>
      </c>
      <c r="S34" s="775">
        <f t="shared" si="12"/>
        <v>100</v>
      </c>
      <c r="T34" s="774" t="s">
        <v>17</v>
      </c>
      <c r="U34" s="775">
        <f t="shared" si="13"/>
        <v>100</v>
      </c>
      <c r="V34" s="774" t="s">
        <v>17</v>
      </c>
      <c r="W34" s="775">
        <f t="shared" si="14"/>
        <v>100</v>
      </c>
      <c r="X34" s="1812"/>
      <c r="Y34" s="327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1"/>
      <c r="Q35" s="776">
        <f t="shared" si="11"/>
        <v>111</v>
      </c>
      <c r="R35" s="777" t="s">
        <v>17</v>
      </c>
      <c r="S35" s="778">
        <f t="shared" si="12"/>
        <v>100</v>
      </c>
      <c r="T35" s="777" t="s">
        <v>17</v>
      </c>
      <c r="U35" s="778">
        <f t="shared" si="13"/>
        <v>100</v>
      </c>
      <c r="V35" s="777" t="s">
        <v>17</v>
      </c>
      <c r="W35" s="778">
        <f t="shared" si="14"/>
        <v>100</v>
      </c>
      <c r="X35" s="779"/>
      <c r="Y35" s="327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1"/>
      <c r="Q36" s="1809">
        <f t="shared" si="11"/>
        <v>111</v>
      </c>
      <c r="R36" s="774" t="s">
        <v>17</v>
      </c>
      <c r="S36" s="775">
        <f t="shared" si="12"/>
        <v>100</v>
      </c>
      <c r="T36" s="774" t="s">
        <v>17</v>
      </c>
      <c r="U36" s="775">
        <f t="shared" si="13"/>
        <v>100</v>
      </c>
      <c r="V36" s="774" t="s">
        <v>17</v>
      </c>
      <c r="W36" s="775">
        <f t="shared" si="14"/>
        <v>100</v>
      </c>
      <c r="X36" s="1812"/>
      <c r="Y36" s="3271"/>
      <c r="Z36" s="1813">
        <f t="shared" si="15"/>
        <v>111</v>
      </c>
      <c r="AA36" s="1810">
        <f t="shared" si="3"/>
        <v>1</v>
      </c>
      <c r="AB36" s="1810">
        <f t="shared" si="4"/>
        <v>1</v>
      </c>
      <c r="AC36" s="1810">
        <f t="shared" si="5"/>
        <v>1</v>
      </c>
    </row>
    <row r="37" spans="1:29" ht="15">
      <c r="A37" s="479" t="s">
        <v>2720</v>
      </c>
      <c r="B37" s="2695" t="s">
        <v>2721</v>
      </c>
      <c r="C37" s="1406" t="s">
        <v>1</v>
      </c>
      <c r="D37" s="1407"/>
      <c r="E37" s="1408"/>
      <c r="F37" s="1409"/>
      <c r="G37" s="1410"/>
      <c r="H37" s="1411"/>
      <c r="I37" s="1408"/>
      <c r="J37" s="1411"/>
      <c r="K37" s="619"/>
      <c r="L37" s="1143"/>
      <c r="M37" s="1144"/>
      <c r="N37" s="1131"/>
      <c r="O37" s="1144"/>
      <c r="P37" s="3264" t="str">
        <f>A37</f>
        <v>成交单价</v>
      </c>
      <c r="Q37" s="3264"/>
      <c r="R37" s="3265">
        <f>E37</f>
        <v>0</v>
      </c>
      <c r="S37" s="3265"/>
      <c r="T37" s="3265">
        <f>G37</f>
        <v>0</v>
      </c>
      <c r="U37" s="3265"/>
      <c r="V37" s="3265">
        <f>I37</f>
        <v>0</v>
      </c>
      <c r="W37" s="3265"/>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4" t="str">
        <f>A38</f>
        <v>比较价值（元/平方米）</v>
      </c>
      <c r="Q38" s="3264"/>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2" t="s">
        <v>2549</v>
      </c>
      <c r="Q7" s="3260"/>
      <c r="R7" s="770" t="s">
        <v>17</v>
      </c>
      <c r="S7" s="771">
        <f t="shared" ref="S7:S14" si="0">F7</f>
        <v>0</v>
      </c>
      <c r="T7" s="770" t="s">
        <v>17</v>
      </c>
      <c r="U7" s="771">
        <f t="shared" ref="U7:U14" si="1">H7</f>
        <v>0</v>
      </c>
      <c r="V7" s="770" t="s">
        <v>17</v>
      </c>
      <c r="W7" s="771">
        <f t="shared" ref="W7:W14"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4" t="s">
        <v>2555</v>
      </c>
      <c r="Q9" s="1794"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4"/>
      <c r="Q11" s="1794">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6" t="s">
        <v>2560</v>
      </c>
      <c r="Q14" s="1809" t="str">
        <f t="shared" si="6"/>
        <v>交通便捷度</v>
      </c>
      <c r="R14" s="774" t="s">
        <v>17</v>
      </c>
      <c r="S14" s="775">
        <f t="shared" si="0"/>
        <v>100</v>
      </c>
      <c r="T14" s="774" t="s">
        <v>17</v>
      </c>
      <c r="U14" s="775">
        <f t="shared" si="1"/>
        <v>100</v>
      </c>
      <c r="V14" s="774" t="s">
        <v>17</v>
      </c>
      <c r="W14" s="775">
        <f t="shared" si="2"/>
        <v>100</v>
      </c>
      <c r="X14" s="1812"/>
      <c r="Y14" s="3266"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7"/>
      <c r="Q15" s="1809"/>
      <c r="R15" s="774"/>
      <c r="S15" s="775"/>
      <c r="T15" s="774"/>
      <c r="U15" s="775"/>
      <c r="V15" s="774"/>
      <c r="W15" s="775"/>
      <c r="X15" s="1812"/>
      <c r="Y15" s="3267"/>
      <c r="Z15" s="1813"/>
      <c r="AA15" s="1810">
        <v>1</v>
      </c>
      <c r="AB15" s="1810">
        <v>1</v>
      </c>
      <c r="AC15" s="1810">
        <v>1</v>
      </c>
    </row>
    <row r="16" spans="1:29" ht="42.75">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7"/>
      <c r="Q16" s="1809" t="str">
        <f>B16</f>
        <v>公共配套设施</v>
      </c>
      <c r="R16" s="774" t="s">
        <v>17</v>
      </c>
      <c r="S16" s="775">
        <f>F16</f>
        <v>100</v>
      </c>
      <c r="T16" s="774" t="s">
        <v>17</v>
      </c>
      <c r="U16" s="775">
        <f>H16</f>
        <v>100</v>
      </c>
      <c r="V16" s="774" t="s">
        <v>17</v>
      </c>
      <c r="W16" s="775">
        <f>J16</f>
        <v>100</v>
      </c>
      <c r="X16" s="1812"/>
      <c r="Y16" s="3267"/>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67"/>
      <c r="Q17" s="1809"/>
      <c r="R17" s="774"/>
      <c r="S17" s="775"/>
      <c r="T17" s="774"/>
      <c r="U17" s="775"/>
      <c r="V17" s="774"/>
      <c r="W17" s="775"/>
      <c r="X17" s="1812"/>
      <c r="Y17" s="3267"/>
      <c r="Z17" s="1813"/>
      <c r="AA17" s="1810">
        <v>1</v>
      </c>
      <c r="AB17" s="1810">
        <v>1</v>
      </c>
      <c r="AC17" s="1810">
        <v>1</v>
      </c>
    </row>
    <row r="18" spans="1:29" ht="28.5">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7"/>
      <c r="Q18" s="1809" t="str">
        <f>B18</f>
        <v>基础设施水平</v>
      </c>
      <c r="R18" s="774" t="s">
        <v>17</v>
      </c>
      <c r="S18" s="775">
        <f>F18</f>
        <v>100</v>
      </c>
      <c r="T18" s="774" t="s">
        <v>17</v>
      </c>
      <c r="U18" s="775">
        <f>H18</f>
        <v>100</v>
      </c>
      <c r="V18" s="774" t="s">
        <v>17</v>
      </c>
      <c r="W18" s="775">
        <f>J18</f>
        <v>100</v>
      </c>
      <c r="X18" s="1812"/>
      <c r="Y18" s="3267"/>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67"/>
      <c r="Q19" s="1809"/>
      <c r="R19" s="774"/>
      <c r="S19" s="775"/>
      <c r="T19" s="774"/>
      <c r="U19" s="775"/>
      <c r="V19" s="774"/>
      <c r="W19" s="775"/>
      <c r="X19" s="1812"/>
      <c r="Y19" s="3267"/>
      <c r="Z19" s="1813"/>
      <c r="AA19" s="1810">
        <v>1</v>
      </c>
      <c r="AB19" s="1810">
        <v>1</v>
      </c>
      <c r="AC19" s="1810">
        <v>1</v>
      </c>
    </row>
    <row r="20" spans="1:29" ht="57">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7"/>
      <c r="Q20" s="1809" t="str">
        <f>B20</f>
        <v>自然及人文环境</v>
      </c>
      <c r="R20" s="774" t="s">
        <v>17</v>
      </c>
      <c r="S20" s="775">
        <f>F20</f>
        <v>100</v>
      </c>
      <c r="T20" s="774" t="s">
        <v>17</v>
      </c>
      <c r="U20" s="775">
        <f>H20</f>
        <v>100</v>
      </c>
      <c r="V20" s="774" t="s">
        <v>17</v>
      </c>
      <c r="W20" s="775">
        <f>J20</f>
        <v>100</v>
      </c>
      <c r="X20" s="1812"/>
      <c r="Y20" s="326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7"/>
      <c r="Q21" s="1809"/>
      <c r="R21" s="774"/>
      <c r="S21" s="775"/>
      <c r="T21" s="774"/>
      <c r="U21" s="775"/>
      <c r="V21" s="774"/>
      <c r="W21" s="775"/>
      <c r="X21" s="1812"/>
      <c r="Y21" s="3267"/>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7"/>
      <c r="Q22" s="1809" t="str">
        <f>B22</f>
        <v>楼层</v>
      </c>
      <c r="R22" s="774" t="s">
        <v>17</v>
      </c>
      <c r="S22" s="775">
        <f>F22</f>
        <v>100</v>
      </c>
      <c r="T22" s="774" t="s">
        <v>17</v>
      </c>
      <c r="U22" s="775">
        <f>H22</f>
        <v>100</v>
      </c>
      <c r="V22" s="774" t="s">
        <v>17</v>
      </c>
      <c r="W22" s="775">
        <f>J22</f>
        <v>100</v>
      </c>
      <c r="X22" s="1812"/>
      <c r="Y22" s="3267"/>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7"/>
      <c r="Q23" s="1809">
        <f>B23</f>
        <v>111</v>
      </c>
      <c r="R23" s="774" t="s">
        <v>17</v>
      </c>
      <c r="S23" s="775">
        <f>F23</f>
        <v>100</v>
      </c>
      <c r="T23" s="774" t="s">
        <v>17</v>
      </c>
      <c r="U23" s="775">
        <f>H23</f>
        <v>100</v>
      </c>
      <c r="V23" s="774" t="s">
        <v>17</v>
      </c>
      <c r="W23" s="775">
        <f>J23</f>
        <v>100</v>
      </c>
      <c r="X23" s="1812"/>
      <c r="Y23" s="3267"/>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7"/>
      <c r="Q24" s="1809">
        <f t="shared" ref="Q24:Q34" si="11">B24</f>
        <v>111</v>
      </c>
      <c r="R24" s="774" t="s">
        <v>17</v>
      </c>
      <c r="S24" s="775">
        <f>F24</f>
        <v>100</v>
      </c>
      <c r="T24" s="774" t="s">
        <v>17</v>
      </c>
      <c r="U24" s="775">
        <f>H24</f>
        <v>100</v>
      </c>
      <c r="V24" s="774" t="s">
        <v>17</v>
      </c>
      <c r="W24" s="775">
        <f>J24</f>
        <v>100</v>
      </c>
      <c r="X24" s="1812"/>
      <c r="Y24" s="3267"/>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67"/>
      <c r="Q25" s="1794">
        <f t="shared" si="11"/>
        <v>111</v>
      </c>
      <c r="R25" s="770" t="s">
        <v>17</v>
      </c>
      <c r="S25" s="771">
        <f>F25</f>
        <v>100</v>
      </c>
      <c r="T25" s="770" t="s">
        <v>17</v>
      </c>
      <c r="U25" s="771">
        <f>H25</f>
        <v>100</v>
      </c>
      <c r="V25" s="770" t="s">
        <v>17</v>
      </c>
      <c r="W25" s="771">
        <f>J25</f>
        <v>100</v>
      </c>
      <c r="X25" s="772"/>
      <c r="Y25" s="3267"/>
      <c r="Z25" s="55">
        <f>Q25</f>
        <v>111</v>
      </c>
      <c r="AA25" s="1810">
        <f>D25/F25</f>
        <v>1</v>
      </c>
      <c r="AB25" s="1810">
        <f>D25/H25</f>
        <v>1</v>
      </c>
      <c r="AC25" s="1810">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2"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1"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1"/>
      <c r="Q27" s="776" t="str">
        <f t="shared" si="11"/>
        <v>成新率</v>
      </c>
      <c r="R27" s="777" t="s">
        <v>17</v>
      </c>
      <c r="S27" s="778" t="e">
        <f t="shared" si="12"/>
        <v>#N/A</v>
      </c>
      <c r="T27" s="777" t="s">
        <v>17</v>
      </c>
      <c r="U27" s="778" t="e">
        <f t="shared" si="13"/>
        <v>#N/A</v>
      </c>
      <c r="V27" s="777" t="s">
        <v>17</v>
      </c>
      <c r="W27" s="778" t="e">
        <f t="shared" si="14"/>
        <v>#N/A</v>
      </c>
      <c r="X27" s="779"/>
      <c r="Y27" s="3271"/>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1"/>
      <c r="Q28" s="1809" t="str">
        <f t="shared" si="11"/>
        <v>物业等级</v>
      </c>
      <c r="R28" s="774" t="s">
        <v>17</v>
      </c>
      <c r="S28" s="775">
        <f t="shared" si="12"/>
        <v>100</v>
      </c>
      <c r="T28" s="774" t="s">
        <v>17</v>
      </c>
      <c r="U28" s="775">
        <f t="shared" si="13"/>
        <v>100</v>
      </c>
      <c r="V28" s="774" t="s">
        <v>17</v>
      </c>
      <c r="W28" s="775">
        <f t="shared" si="14"/>
        <v>100</v>
      </c>
      <c r="X28" s="1812"/>
      <c r="Y28" s="3271"/>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1"/>
      <c r="Q29" s="1809" t="str">
        <f t="shared" si="11"/>
        <v>有无电梯</v>
      </c>
      <c r="R29" s="774" t="s">
        <v>17</v>
      </c>
      <c r="S29" s="775">
        <f t="shared" si="12"/>
        <v>100</v>
      </c>
      <c r="T29" s="774" t="s">
        <v>17</v>
      </c>
      <c r="U29" s="775">
        <f t="shared" si="13"/>
        <v>100</v>
      </c>
      <c r="V29" s="774" t="s">
        <v>17</v>
      </c>
      <c r="W29" s="775">
        <f t="shared" si="14"/>
        <v>100</v>
      </c>
      <c r="X29" s="1812"/>
      <c r="Y29" s="3271"/>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1"/>
      <c r="Q30" s="1809" t="str">
        <f t="shared" si="11"/>
        <v>建筑面积</v>
      </c>
      <c r="R30" s="774" t="s">
        <v>17</v>
      </c>
      <c r="S30" s="775" t="e">
        <f t="shared" si="12"/>
        <v>#N/A</v>
      </c>
      <c r="T30" s="774" t="s">
        <v>17</v>
      </c>
      <c r="U30" s="775" t="e">
        <f t="shared" si="13"/>
        <v>#N/A</v>
      </c>
      <c r="V30" s="774" t="s">
        <v>17</v>
      </c>
      <c r="W30" s="775" t="e">
        <f t="shared" si="14"/>
        <v>#N/A</v>
      </c>
      <c r="X30" s="1812"/>
      <c r="Y30" s="3271"/>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1"/>
      <c r="Q31" s="1794" t="str">
        <f t="shared" si="11"/>
        <v>是否封闭</v>
      </c>
      <c r="R31" s="770" t="s">
        <v>17</v>
      </c>
      <c r="S31" s="771">
        <f t="shared" si="12"/>
        <v>100</v>
      </c>
      <c r="T31" s="770" t="s">
        <v>17</v>
      </c>
      <c r="U31" s="771">
        <f t="shared" si="13"/>
        <v>100</v>
      </c>
      <c r="V31" s="770" t="s">
        <v>17</v>
      </c>
      <c r="W31" s="771">
        <f t="shared" si="14"/>
        <v>100</v>
      </c>
      <c r="X31" s="772"/>
      <c r="Y31" s="327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1" t="s">
        <v>2565</v>
      </c>
      <c r="Q32" s="1809">
        <f t="shared" si="11"/>
        <v>111</v>
      </c>
      <c r="R32" s="774" t="s">
        <v>17</v>
      </c>
      <c r="S32" s="775">
        <f t="shared" si="12"/>
        <v>100</v>
      </c>
      <c r="T32" s="774" t="s">
        <v>17</v>
      </c>
      <c r="U32" s="775">
        <f t="shared" si="13"/>
        <v>100</v>
      </c>
      <c r="V32" s="774" t="s">
        <v>17</v>
      </c>
      <c r="W32" s="775">
        <f t="shared" si="14"/>
        <v>100</v>
      </c>
      <c r="X32" s="1812"/>
      <c r="Y32" s="3271"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1"/>
      <c r="Q33" s="1809">
        <f t="shared" si="11"/>
        <v>111</v>
      </c>
      <c r="R33" s="774" t="s">
        <v>17</v>
      </c>
      <c r="S33" s="775">
        <f t="shared" si="12"/>
        <v>100</v>
      </c>
      <c r="T33" s="774" t="s">
        <v>17</v>
      </c>
      <c r="U33" s="775">
        <f t="shared" si="13"/>
        <v>100</v>
      </c>
      <c r="V33" s="774" t="s">
        <v>17</v>
      </c>
      <c r="W33" s="775">
        <f t="shared" si="14"/>
        <v>100</v>
      </c>
      <c r="X33" s="1812"/>
      <c r="Y33" s="3271"/>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1"/>
      <c r="Q34" s="1809">
        <f t="shared" si="11"/>
        <v>111</v>
      </c>
      <c r="R34" s="774" t="s">
        <v>17</v>
      </c>
      <c r="S34" s="775">
        <f t="shared" si="12"/>
        <v>100</v>
      </c>
      <c r="T34" s="774" t="s">
        <v>17</v>
      </c>
      <c r="U34" s="775">
        <f t="shared" si="13"/>
        <v>100</v>
      </c>
      <c r="V34" s="774" t="s">
        <v>17</v>
      </c>
      <c r="W34" s="775">
        <f t="shared" si="14"/>
        <v>100</v>
      </c>
      <c r="X34" s="1812"/>
      <c r="Y34" s="3271"/>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64" t="str">
        <f>A35</f>
        <v>成交单价（元/平方米）</v>
      </c>
      <c r="Q35" s="3264"/>
      <c r="R35" s="3265">
        <f>E35</f>
        <v>0</v>
      </c>
      <c r="S35" s="3265"/>
      <c r="T35" s="3265">
        <f>G35</f>
        <v>0</v>
      </c>
      <c r="U35" s="3265"/>
      <c r="V35" s="3265">
        <f>I35</f>
        <v>0</v>
      </c>
      <c r="W35" s="3265"/>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64" t="str">
        <f>A36</f>
        <v>比较价值（元/平方米）</v>
      </c>
      <c r="Q36" s="3264"/>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61" t="str">
        <f>A37</f>
        <v>估价对象XX用房的比较价值（楼面单价，元/平方米）</v>
      </c>
      <c r="Q37" s="3262"/>
      <c r="R37" s="3263" t="e">
        <f>IF(F1="售价",ROUND(AVERAGE(R36:V36),0),ROUND(AVERAGE(R36:V36),1))</f>
        <v>#DIV/0!</v>
      </c>
      <c r="S37" s="3263"/>
      <c r="T37" s="3263"/>
      <c r="U37" s="3263"/>
      <c r="V37" s="3263"/>
      <c r="W37" s="326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30"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30"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30" s="117" customFormat="1" ht="15.75" thickBot="1">
      <c r="A7" s="408" t="s">
        <v>2548</v>
      </c>
      <c r="B7" s="409"/>
      <c r="C7" s="410">
        <f>'数据-取费表'!B2</f>
        <v>43973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64"/>
      <c r="Q10" s="1794" t="str">
        <f t="shared" si="6"/>
        <v>土地使用年限（年）</v>
      </c>
      <c r="R10" s="770" t="s">
        <v>17</v>
      </c>
      <c r="S10" s="771">
        <f t="shared" si="0"/>
        <v>122</v>
      </c>
      <c r="T10" s="770" t="s">
        <v>17</v>
      </c>
      <c r="U10" s="771">
        <f t="shared" si="1"/>
        <v>122</v>
      </c>
      <c r="V10" s="770" t="s">
        <v>17</v>
      </c>
      <c r="W10" s="771">
        <f t="shared" si="2"/>
        <v>122</v>
      </c>
      <c r="X10" s="772"/>
      <c r="Y10" s="3063"/>
      <c r="Z10" s="55" t="str">
        <f t="shared" si="7"/>
        <v>土地使用年限（年）</v>
      </c>
      <c r="AA10" s="773">
        <f t="shared" si="3"/>
        <v>0.81967213114754101</v>
      </c>
      <c r="AB10" s="773">
        <f t="shared" si="4"/>
        <v>0.81967213114754101</v>
      </c>
      <c r="AC10" s="773">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4"/>
      <c r="Q12" s="1794"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99.75">
      <c r="A15" s="440" t="s">
        <v>2559</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6" t="s">
        <v>2560</v>
      </c>
      <c r="Q15" s="1809" t="str">
        <f t="shared" si="6"/>
        <v>居住社区成熟度</v>
      </c>
      <c r="R15" s="774" t="s">
        <v>17</v>
      </c>
      <c r="S15" s="775">
        <f t="shared" si="0"/>
        <v>100</v>
      </c>
      <c r="T15" s="774" t="s">
        <v>17</v>
      </c>
      <c r="U15" s="775">
        <f t="shared" si="1"/>
        <v>100</v>
      </c>
      <c r="V15" s="774" t="s">
        <v>17</v>
      </c>
      <c r="W15" s="775">
        <f t="shared" si="2"/>
        <v>100</v>
      </c>
      <c r="X15" s="1812"/>
      <c r="Y15" s="3266"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67"/>
      <c r="Q16" s="1809"/>
      <c r="R16" s="774"/>
      <c r="S16" s="775"/>
      <c r="T16" s="774"/>
      <c r="U16" s="775"/>
      <c r="V16" s="774"/>
      <c r="W16" s="775"/>
      <c r="X16" s="1812"/>
      <c r="Y16" s="3267"/>
      <c r="Z16" s="1813"/>
      <c r="AA16" s="1810">
        <v>1</v>
      </c>
      <c r="AB16" s="1810">
        <v>1</v>
      </c>
      <c r="AC16" s="1810">
        <v>1</v>
      </c>
    </row>
    <row r="17" spans="1:29" ht="71.25">
      <c r="A17" s="428"/>
      <c r="B17" s="451" t="s">
        <v>2653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7"/>
      <c r="Q17" s="1809" t="str">
        <f>B17</f>
        <v>商业繁华度</v>
      </c>
      <c r="R17" s="774" t="s">
        <v>17</v>
      </c>
      <c r="S17" s="775">
        <f>F17</f>
        <v>100</v>
      </c>
      <c r="T17" s="774" t="s">
        <v>17</v>
      </c>
      <c r="U17" s="775">
        <f>H17</f>
        <v>100</v>
      </c>
      <c r="V17" s="774" t="s">
        <v>17</v>
      </c>
      <c r="W17" s="775">
        <f>J17</f>
        <v>100</v>
      </c>
      <c r="X17" s="1812"/>
      <c r="Y17" s="3267"/>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67"/>
      <c r="Q18" s="1809"/>
      <c r="R18" s="774"/>
      <c r="S18" s="775"/>
      <c r="T18" s="774"/>
      <c r="U18" s="775"/>
      <c r="V18" s="774"/>
      <c r="W18" s="775"/>
      <c r="X18" s="1812"/>
      <c r="Y18" s="3267"/>
      <c r="Z18" s="1813"/>
      <c r="AA18" s="1810">
        <v>1</v>
      </c>
      <c r="AB18" s="1810">
        <v>1</v>
      </c>
      <c r="AC18" s="1810">
        <v>1</v>
      </c>
    </row>
    <row r="19" spans="1:29" ht="71.25">
      <c r="A19" s="428"/>
      <c r="B19" s="451" t="s">
        <v>2687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7"/>
      <c r="Q19" s="1809" t="str">
        <f>B19</f>
        <v>办公集聚程度</v>
      </c>
      <c r="R19" s="774" t="s">
        <v>17</v>
      </c>
      <c r="S19" s="775">
        <f>F19</f>
        <v>100</v>
      </c>
      <c r="T19" s="774" t="s">
        <v>17</v>
      </c>
      <c r="U19" s="775">
        <f>H19</f>
        <v>100</v>
      </c>
      <c r="V19" s="774" t="s">
        <v>17</v>
      </c>
      <c r="W19" s="775">
        <f>J19</f>
        <v>100</v>
      </c>
      <c r="X19" s="1812"/>
      <c r="Y19" s="3267"/>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67"/>
      <c r="Q20" s="1809"/>
      <c r="R20" s="774"/>
      <c r="S20" s="775"/>
      <c r="T20" s="774"/>
      <c r="U20" s="775"/>
      <c r="V20" s="774"/>
      <c r="W20" s="775"/>
      <c r="X20" s="1812"/>
      <c r="Y20" s="3267"/>
      <c r="Z20" s="1813"/>
      <c r="AA20" s="1810">
        <v>1</v>
      </c>
      <c r="AB20" s="1810">
        <v>1</v>
      </c>
      <c r="AC20" s="1810">
        <v>1</v>
      </c>
    </row>
    <row r="21" spans="1:29" ht="85.5">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7"/>
      <c r="Q21" s="1809" t="str">
        <f>B21</f>
        <v>交通便捷度</v>
      </c>
      <c r="R21" s="774" t="s">
        <v>17</v>
      </c>
      <c r="S21" s="775">
        <f>F21</f>
        <v>100</v>
      </c>
      <c r="T21" s="774" t="s">
        <v>17</v>
      </c>
      <c r="U21" s="775">
        <f>H21</f>
        <v>100</v>
      </c>
      <c r="V21" s="774" t="s">
        <v>17</v>
      </c>
      <c r="W21" s="775">
        <f>J21</f>
        <v>100</v>
      </c>
      <c r="X21" s="1812"/>
      <c r="Y21" s="3267"/>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67"/>
      <c r="Q22" s="1809"/>
      <c r="R22" s="774"/>
      <c r="S22" s="775"/>
      <c r="T22" s="774"/>
      <c r="U22" s="775"/>
      <c r="V22" s="774"/>
      <c r="W22" s="775"/>
      <c r="X22" s="1812"/>
      <c r="Y22" s="3267"/>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7"/>
      <c r="Q23" s="1809" t="str">
        <f t="shared" ref="Q23:Q37" si="8">B23</f>
        <v>区域土地利用方向</v>
      </c>
      <c r="R23" s="774" t="s">
        <v>17</v>
      </c>
      <c r="S23" s="775">
        <f>F23</f>
        <v>100</v>
      </c>
      <c r="T23" s="774" t="s">
        <v>17</v>
      </c>
      <c r="U23" s="775">
        <f>H23</f>
        <v>100</v>
      </c>
      <c r="V23" s="774" t="s">
        <v>17</v>
      </c>
      <c r="W23" s="775">
        <f>J23</f>
        <v>100</v>
      </c>
      <c r="X23" s="1812"/>
      <c r="Y23" s="3267"/>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67"/>
      <c r="Q24" s="1809"/>
      <c r="R24" s="774"/>
      <c r="S24" s="775"/>
      <c r="T24" s="774"/>
      <c r="U24" s="775"/>
      <c r="V24" s="774"/>
      <c r="W24" s="775"/>
      <c r="X24" s="1812"/>
      <c r="Y24" s="3267"/>
      <c r="Z24" s="1813"/>
      <c r="AA24" s="1810"/>
      <c r="AB24" s="1810"/>
      <c r="AC24" s="1810"/>
    </row>
    <row r="25" spans="1:29" ht="57">
      <c r="A25" s="404"/>
      <c r="B25" s="1383" t="s">
        <v>2749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7"/>
      <c r="Q25" s="1809" t="str">
        <f t="shared" si="8"/>
        <v>自然及人文环境状况</v>
      </c>
      <c r="R25" s="774" t="s">
        <v>17</v>
      </c>
      <c r="S25" s="775">
        <f>F25</f>
        <v>100</v>
      </c>
      <c r="T25" s="774" t="s">
        <v>17</v>
      </c>
      <c r="U25" s="775">
        <f>H25</f>
        <v>100</v>
      </c>
      <c r="V25" s="774" t="s">
        <v>17</v>
      </c>
      <c r="W25" s="775">
        <f>J25</f>
        <v>100</v>
      </c>
      <c r="X25" s="1812"/>
      <c r="Y25" s="3267"/>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67"/>
      <c r="Q26" s="1809"/>
      <c r="R26" s="774"/>
      <c r="S26" s="775"/>
      <c r="T26" s="774"/>
      <c r="U26" s="775"/>
      <c r="V26" s="774"/>
      <c r="W26" s="775"/>
      <c r="X26" s="1812"/>
      <c r="Y26" s="3267"/>
      <c r="Z26" s="1813"/>
      <c r="AA26" s="1810">
        <v>1</v>
      </c>
      <c r="AB26" s="1810">
        <v>1</v>
      </c>
      <c r="AC26" s="1810">
        <v>1</v>
      </c>
    </row>
    <row r="27" spans="1:29" s="117" customFormat="1" ht="42.75">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7"/>
      <c r="Q27" s="1794" t="str">
        <f t="shared" si="8"/>
        <v>公共配套设施</v>
      </c>
      <c r="R27" s="770" t="s">
        <v>17</v>
      </c>
      <c r="S27" s="771">
        <f>F27</f>
        <v>100</v>
      </c>
      <c r="T27" s="770" t="s">
        <v>17</v>
      </c>
      <c r="U27" s="771">
        <f>H27</f>
        <v>100</v>
      </c>
      <c r="V27" s="770" t="s">
        <v>17</v>
      </c>
      <c r="W27" s="771">
        <f>J27</f>
        <v>100</v>
      </c>
      <c r="X27" s="772"/>
      <c r="Y27" s="3267"/>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67"/>
      <c r="Q28" s="1794"/>
      <c r="R28" s="770"/>
      <c r="S28" s="771"/>
      <c r="T28" s="770"/>
      <c r="U28" s="771"/>
      <c r="V28" s="770"/>
      <c r="W28" s="771"/>
      <c r="X28" s="772"/>
      <c r="Y28" s="3267"/>
      <c r="Z28" s="55"/>
      <c r="AA28" s="1810">
        <v>1</v>
      </c>
      <c r="AB28" s="1810">
        <v>1</v>
      </c>
      <c r="AC28" s="1810">
        <v>1</v>
      </c>
    </row>
    <row r="29" spans="1:29" s="117" customFormat="1" ht="28.5">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7"/>
      <c r="Q29" s="1794" t="str">
        <f t="shared" ref="Q29" si="9">B29</f>
        <v>基础设施水平</v>
      </c>
      <c r="R29" s="770" t="s">
        <v>17</v>
      </c>
      <c r="S29" s="771">
        <f>F29</f>
        <v>100</v>
      </c>
      <c r="T29" s="770" t="s">
        <v>17</v>
      </c>
      <c r="U29" s="771">
        <f>H29</f>
        <v>100</v>
      </c>
      <c r="V29" s="770" t="s">
        <v>17</v>
      </c>
      <c r="W29" s="771">
        <f>J29</f>
        <v>100</v>
      </c>
      <c r="X29" s="772"/>
      <c r="Y29" s="3267"/>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67"/>
      <c r="Q30" s="1794"/>
      <c r="R30" s="770"/>
      <c r="S30" s="771"/>
      <c r="T30" s="770"/>
      <c r="U30" s="771"/>
      <c r="V30" s="770"/>
      <c r="W30" s="771"/>
      <c r="X30" s="772"/>
      <c r="Y30" s="3267"/>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7"/>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7"/>
      <c r="Q32" s="1809" t="str">
        <f t="shared" si="8"/>
        <v>毗邻道路的类型与等级</v>
      </c>
      <c r="R32" s="774" t="s">
        <v>17</v>
      </c>
      <c r="S32" s="775">
        <f t="shared" si="10"/>
        <v>100</v>
      </c>
      <c r="T32" s="774" t="s">
        <v>17</v>
      </c>
      <c r="U32" s="775">
        <f t="shared" si="11"/>
        <v>100</v>
      </c>
      <c r="V32" s="774" t="s">
        <v>17</v>
      </c>
      <c r="W32" s="775">
        <f t="shared" si="12"/>
        <v>100</v>
      </c>
      <c r="X32" s="1812"/>
      <c r="Y32" s="3267"/>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67"/>
      <c r="Q33" s="1809"/>
      <c r="R33" s="774"/>
      <c r="S33" s="775"/>
      <c r="T33" s="774"/>
      <c r="U33" s="775"/>
      <c r="V33" s="774"/>
      <c r="W33" s="775"/>
      <c r="X33" s="1812"/>
      <c r="Y33" s="3267"/>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7"/>
      <c r="Q34" s="1809" t="str">
        <f t="shared" si="8"/>
        <v>土地级别</v>
      </c>
      <c r="R34" s="774" t="s">
        <v>17</v>
      </c>
      <c r="S34" s="775">
        <f t="shared" si="10"/>
        <v>100</v>
      </c>
      <c r="T34" s="774" t="s">
        <v>17</v>
      </c>
      <c r="U34" s="775">
        <f t="shared" si="11"/>
        <v>100</v>
      </c>
      <c r="V34" s="774" t="s">
        <v>17</v>
      </c>
      <c r="W34" s="775">
        <f t="shared" si="12"/>
        <v>100</v>
      </c>
      <c r="X34" s="1812"/>
      <c r="Y34" s="326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7"/>
      <c r="Q35" s="1809">
        <f t="shared" si="8"/>
        <v>111</v>
      </c>
      <c r="R35" s="774" t="s">
        <v>17</v>
      </c>
      <c r="S35" s="775">
        <f t="shared" si="10"/>
        <v>100</v>
      </c>
      <c r="T35" s="774" t="s">
        <v>17</v>
      </c>
      <c r="U35" s="775">
        <f t="shared" si="11"/>
        <v>100</v>
      </c>
      <c r="V35" s="774" t="s">
        <v>17</v>
      </c>
      <c r="W35" s="775">
        <f t="shared" si="12"/>
        <v>100</v>
      </c>
      <c r="X35" s="1812"/>
      <c r="Y35" s="326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2" t="s">
        <v>2565</v>
      </c>
      <c r="Q36" s="1809">
        <f t="shared" si="8"/>
        <v>111</v>
      </c>
      <c r="R36" s="774" t="s">
        <v>17</v>
      </c>
      <c r="S36" s="775">
        <f t="shared" si="10"/>
        <v>100</v>
      </c>
      <c r="T36" s="774" t="s">
        <v>17</v>
      </c>
      <c r="U36" s="775">
        <f t="shared" si="11"/>
        <v>100</v>
      </c>
      <c r="V36" s="774" t="s">
        <v>17</v>
      </c>
      <c r="W36" s="775">
        <f t="shared" si="12"/>
        <v>100</v>
      </c>
      <c r="X36" s="1812"/>
      <c r="Y36" s="3271"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1"/>
      <c r="Q37" s="1809">
        <f t="shared" si="8"/>
        <v>111</v>
      </c>
      <c r="R37" s="777" t="s">
        <v>17</v>
      </c>
      <c r="S37" s="778">
        <f t="shared" si="10"/>
        <v>100</v>
      </c>
      <c r="T37" s="777" t="s">
        <v>17</v>
      </c>
      <c r="U37" s="778">
        <f t="shared" si="11"/>
        <v>100</v>
      </c>
      <c r="V37" s="777" t="s">
        <v>17</v>
      </c>
      <c r="W37" s="778">
        <f t="shared" si="12"/>
        <v>100</v>
      </c>
      <c r="X37" s="779"/>
      <c r="Y37" s="3271"/>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1"/>
      <c r="Q38" s="1809" t="str">
        <f>B38</f>
        <v>宗地面积</v>
      </c>
      <c r="R38" s="774" t="s">
        <v>17</v>
      </c>
      <c r="S38" s="775" t="e">
        <f t="shared" si="10"/>
        <v>#N/A</v>
      </c>
      <c r="T38" s="774" t="s">
        <v>17</v>
      </c>
      <c r="U38" s="775" t="e">
        <f t="shared" si="11"/>
        <v>#N/A</v>
      </c>
      <c r="V38" s="774" t="s">
        <v>17</v>
      </c>
      <c r="W38" s="775" t="e">
        <f t="shared" si="12"/>
        <v>#N/A</v>
      </c>
      <c r="X38" s="1812"/>
      <c r="Y38" s="3271"/>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1"/>
      <c r="Q39" s="1809" t="str">
        <f t="shared" ref="Q39:Q45" si="14">B39</f>
        <v>宗地形状</v>
      </c>
      <c r="R39" s="774" t="s">
        <v>17</v>
      </c>
      <c r="S39" s="775">
        <f t="shared" si="10"/>
        <v>100</v>
      </c>
      <c r="T39" s="774" t="s">
        <v>17</v>
      </c>
      <c r="U39" s="775">
        <f t="shared" si="11"/>
        <v>100</v>
      </c>
      <c r="V39" s="774" t="s">
        <v>17</v>
      </c>
      <c r="W39" s="775">
        <f t="shared" si="12"/>
        <v>100</v>
      </c>
      <c r="X39" s="1812"/>
      <c r="Y39" s="3271"/>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1"/>
      <c r="Q40" s="1809" t="str">
        <f t="shared" si="14"/>
        <v>临街宽度及深度</v>
      </c>
      <c r="R40" s="774" t="s">
        <v>17</v>
      </c>
      <c r="S40" s="775">
        <f t="shared" si="10"/>
        <v>100</v>
      </c>
      <c r="T40" s="774" t="s">
        <v>17</v>
      </c>
      <c r="U40" s="775">
        <f t="shared" si="11"/>
        <v>100</v>
      </c>
      <c r="V40" s="774" t="s">
        <v>17</v>
      </c>
      <c r="W40" s="775">
        <f t="shared" si="12"/>
        <v>100</v>
      </c>
      <c r="X40" s="1812"/>
      <c r="Y40" s="3271"/>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1"/>
      <c r="Q41" s="1809" t="str">
        <f t="shared" si="14"/>
        <v>宗地开发程度</v>
      </c>
      <c r="R41" s="770" t="s">
        <v>17</v>
      </c>
      <c r="S41" s="771">
        <f t="shared" si="10"/>
        <v>100</v>
      </c>
      <c r="T41" s="770" t="s">
        <v>17</v>
      </c>
      <c r="U41" s="771">
        <f t="shared" si="11"/>
        <v>100</v>
      </c>
      <c r="V41" s="770" t="s">
        <v>17</v>
      </c>
      <c r="W41" s="771">
        <f t="shared" si="12"/>
        <v>100</v>
      </c>
      <c r="X41" s="772"/>
      <c r="Y41" s="3271"/>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1" t="s">
        <v>2565</v>
      </c>
      <c r="Q42" s="1809" t="str">
        <f t="shared" si="14"/>
        <v>工程地质条件</v>
      </c>
      <c r="R42" s="774" t="s">
        <v>17</v>
      </c>
      <c r="S42" s="775">
        <f t="shared" si="10"/>
        <v>100</v>
      </c>
      <c r="T42" s="774" t="s">
        <v>17</v>
      </c>
      <c r="U42" s="775">
        <f t="shared" si="11"/>
        <v>100</v>
      </c>
      <c r="V42" s="774" t="s">
        <v>17</v>
      </c>
      <c r="W42" s="775">
        <f t="shared" si="12"/>
        <v>100</v>
      </c>
      <c r="X42" s="1812"/>
      <c r="Y42" s="3271"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1"/>
      <c r="Q43" s="1809">
        <f t="shared" si="14"/>
        <v>111</v>
      </c>
      <c r="R43" s="774" t="s">
        <v>17</v>
      </c>
      <c r="S43" s="775">
        <f t="shared" si="10"/>
        <v>100</v>
      </c>
      <c r="T43" s="774" t="s">
        <v>17</v>
      </c>
      <c r="U43" s="775">
        <f t="shared" si="11"/>
        <v>100</v>
      </c>
      <c r="V43" s="774" t="s">
        <v>17</v>
      </c>
      <c r="W43" s="775">
        <f t="shared" si="12"/>
        <v>100</v>
      </c>
      <c r="X43" s="1812"/>
      <c r="Y43" s="327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1"/>
      <c r="Q44" s="1809">
        <f t="shared" si="14"/>
        <v>111</v>
      </c>
      <c r="R44" s="774" t="s">
        <v>17</v>
      </c>
      <c r="S44" s="775">
        <f t="shared" si="10"/>
        <v>100</v>
      </c>
      <c r="T44" s="774" t="s">
        <v>17</v>
      </c>
      <c r="U44" s="775">
        <f t="shared" si="11"/>
        <v>100</v>
      </c>
      <c r="V44" s="774" t="s">
        <v>17</v>
      </c>
      <c r="W44" s="775">
        <f t="shared" si="12"/>
        <v>100</v>
      </c>
      <c r="X44" s="1812"/>
      <c r="Y44" s="3271"/>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1"/>
      <c r="Q45" s="1809">
        <f t="shared" si="14"/>
        <v>111</v>
      </c>
      <c r="R45" s="777" t="s">
        <v>17</v>
      </c>
      <c r="S45" s="778">
        <f t="shared" si="10"/>
        <v>100</v>
      </c>
      <c r="T45" s="777" t="s">
        <v>17</v>
      </c>
      <c r="U45" s="778">
        <f t="shared" si="11"/>
        <v>100</v>
      </c>
      <c r="V45" s="777" t="s">
        <v>17</v>
      </c>
      <c r="W45" s="778">
        <f t="shared" si="12"/>
        <v>100</v>
      </c>
      <c r="X45" s="779"/>
      <c r="Y45" s="3271"/>
      <c r="Z45" s="780">
        <f t="shared" si="13"/>
        <v>111</v>
      </c>
      <c r="AA45" s="1810">
        <f t="shared" si="3"/>
        <v>1</v>
      </c>
      <c r="AB45" s="1810">
        <f t="shared" si="4"/>
        <v>1</v>
      </c>
      <c r="AC45" s="1810">
        <f t="shared" si="5"/>
        <v>1</v>
      </c>
    </row>
    <row r="46" spans="1:29" ht="15">
      <c r="A46" s="479" t="s">
        <v>2720</v>
      </c>
      <c r="B46" s="2704" t="s">
        <v>2756</v>
      </c>
      <c r="C46" s="682" t="s">
        <v>1</v>
      </c>
      <c r="D46" s="481"/>
      <c r="E46" s="482"/>
      <c r="F46" s="483"/>
      <c r="G46" s="484"/>
      <c r="H46" s="485"/>
      <c r="I46" s="482"/>
      <c r="J46" s="485"/>
      <c r="K46" s="783"/>
      <c r="L46" s="1143"/>
      <c r="M46" s="1144"/>
      <c r="N46" s="1131"/>
      <c r="O46" s="1144"/>
      <c r="P46" s="3264" t="str">
        <f>A46</f>
        <v>成交单价</v>
      </c>
      <c r="Q46" s="3264"/>
      <c r="R46" s="3259">
        <f>E46</f>
        <v>0</v>
      </c>
      <c r="S46" s="3259"/>
      <c r="T46" s="3259">
        <f>G46</f>
        <v>0</v>
      </c>
      <c r="U46" s="3259"/>
      <c r="V46" s="3259">
        <f>I46</f>
        <v>0</v>
      </c>
      <c r="W46" s="3259"/>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64" t="str">
        <f>A47</f>
        <v>比较价值（元/平方米）</v>
      </c>
      <c r="Q47" s="3264"/>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61" t="str">
        <f>A48</f>
        <v>估价对象XX用房的比较价值（楼面单价，元/平方米）</v>
      </c>
      <c r="Q48" s="3262"/>
      <c r="R48" s="3294" t="e">
        <f>ROUND(AVERAGE(R47:V47),0)</f>
        <v>#DIV/0!</v>
      </c>
      <c r="S48" s="3294"/>
      <c r="T48" s="3294"/>
      <c r="U48" s="3294"/>
      <c r="V48" s="3294"/>
      <c r="W48" s="329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247" t="s">
        <v>2764</v>
      </c>
      <c r="H55" s="3295"/>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7700.0099999999984</v>
      </c>
      <c r="F56" s="1103" t="e">
        <f t="shared" ref="F56:F65" si="15">ROUND(B56*E56/10000,0)</f>
        <v>#DIV/0!</v>
      </c>
      <c r="G56" s="3246"/>
      <c r="H56" s="326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9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9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9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9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7700.0099999999984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1" t="s">
        <v>2782</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2783</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97" t="s">
        <v>2797</v>
      </c>
      <c r="D6" s="3298"/>
      <c r="E6" s="3299" t="s">
        <v>2797</v>
      </c>
      <c r="F6" s="3300"/>
      <c r="G6" s="3297" t="s">
        <v>2797</v>
      </c>
      <c r="H6" s="3298"/>
      <c r="I6" s="3297" t="s">
        <v>2797</v>
      </c>
      <c r="J6" s="3298"/>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64"/>
      <c r="Q10" s="1794" t="str">
        <f t="shared" si="6"/>
        <v>土地使用年限（年）</v>
      </c>
      <c r="R10" s="770" t="s">
        <v>17</v>
      </c>
      <c r="S10" s="771">
        <f t="shared" si="0"/>
        <v>122</v>
      </c>
      <c r="T10" s="770" t="s">
        <v>17</v>
      </c>
      <c r="U10" s="771">
        <f t="shared" si="1"/>
        <v>122</v>
      </c>
      <c r="V10" s="770" t="s">
        <v>17</v>
      </c>
      <c r="W10" s="771">
        <f t="shared" si="2"/>
        <v>122</v>
      </c>
      <c r="X10" s="772"/>
      <c r="Y10" s="3063"/>
      <c r="Z10" s="55" t="str">
        <f t="shared" si="7"/>
        <v>土地使用年限（年）</v>
      </c>
      <c r="AA10" s="773">
        <f t="shared" si="3"/>
        <v>0.81967213114754101</v>
      </c>
      <c r="AB10" s="773">
        <f t="shared" si="4"/>
        <v>0.81967213114754101</v>
      </c>
      <c r="AC10" s="773">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6" t="s">
        <v>2560</v>
      </c>
      <c r="Q15" s="1809" t="str">
        <f t="shared" si="6"/>
        <v>产业集聚程度</v>
      </c>
      <c r="R15" s="774" t="s">
        <v>17</v>
      </c>
      <c r="S15" s="775">
        <f t="shared" si="0"/>
        <v>100</v>
      </c>
      <c r="T15" s="774" t="s">
        <v>17</v>
      </c>
      <c r="U15" s="775">
        <f t="shared" si="1"/>
        <v>100</v>
      </c>
      <c r="V15" s="774" t="s">
        <v>17</v>
      </c>
      <c r="W15" s="775">
        <f t="shared" si="2"/>
        <v>100</v>
      </c>
      <c r="X15" s="1812"/>
      <c r="Y15" s="3266"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67"/>
      <c r="Q16" s="1809"/>
      <c r="R16" s="774"/>
      <c r="S16" s="775"/>
      <c r="T16" s="774"/>
      <c r="U16" s="775"/>
      <c r="V16" s="774"/>
      <c r="W16" s="775"/>
      <c r="X16" s="1812"/>
      <c r="Y16" s="3267"/>
      <c r="Z16" s="1813"/>
      <c r="AA16" s="1810">
        <v>1</v>
      </c>
      <c r="AB16" s="1810">
        <v>1</v>
      </c>
      <c r="AC16" s="1810">
        <v>1</v>
      </c>
    </row>
    <row r="17" spans="1:29" ht="85.5">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7"/>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67"/>
      <c r="Q18" s="1809"/>
      <c r="R18" s="774"/>
      <c r="S18" s="775"/>
      <c r="T18" s="774"/>
      <c r="U18" s="775"/>
      <c r="V18" s="774"/>
      <c r="W18" s="775"/>
      <c r="X18" s="1812"/>
      <c r="Y18" s="3267"/>
      <c r="Z18" s="1813"/>
      <c r="AA18" s="1810">
        <v>1</v>
      </c>
      <c r="AB18" s="1810">
        <v>1</v>
      </c>
      <c r="AC18" s="1810">
        <v>1</v>
      </c>
    </row>
    <row r="19" spans="1:29" ht="15">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7"/>
      <c r="Q19" s="1809" t="str">
        <f t="shared" ref="Q19:Q33" si="8">B19</f>
        <v>区域土地利用方向</v>
      </c>
      <c r="R19" s="774" t="s">
        <v>17</v>
      </c>
      <c r="S19" s="775">
        <f>F19</f>
        <v>100</v>
      </c>
      <c r="T19" s="774" t="s">
        <v>17</v>
      </c>
      <c r="U19" s="775">
        <f>H19</f>
        <v>100</v>
      </c>
      <c r="V19" s="774" t="s">
        <v>17</v>
      </c>
      <c r="W19" s="775">
        <f>J19</f>
        <v>100</v>
      </c>
      <c r="X19" s="1812"/>
      <c r="Y19" s="3267"/>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67"/>
      <c r="Q20" s="1809"/>
      <c r="R20" s="774"/>
      <c r="S20" s="775"/>
      <c r="T20" s="774"/>
      <c r="U20" s="775"/>
      <c r="V20" s="774"/>
      <c r="W20" s="775"/>
      <c r="X20" s="1812"/>
      <c r="Y20" s="3267"/>
      <c r="Z20" s="1813"/>
      <c r="AA20" s="1810"/>
      <c r="AB20" s="1810"/>
      <c r="AC20" s="1810"/>
    </row>
    <row r="21" spans="1:29" ht="71.25">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7"/>
      <c r="Q21" s="1809" t="str">
        <f t="shared" si="8"/>
        <v>环境状况</v>
      </c>
      <c r="R21" s="774" t="s">
        <v>17</v>
      </c>
      <c r="S21" s="775">
        <f>F21</f>
        <v>100</v>
      </c>
      <c r="T21" s="774" t="s">
        <v>17</v>
      </c>
      <c r="U21" s="775">
        <f>H21</f>
        <v>100</v>
      </c>
      <c r="V21" s="774" t="s">
        <v>17</v>
      </c>
      <c r="W21" s="775">
        <f>J21</f>
        <v>100</v>
      </c>
      <c r="X21" s="1812"/>
      <c r="Y21" s="3267"/>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67"/>
      <c r="Q22" s="1809"/>
      <c r="R22" s="774"/>
      <c r="S22" s="775"/>
      <c r="T22" s="774"/>
      <c r="U22" s="775"/>
      <c r="V22" s="774"/>
      <c r="W22" s="775"/>
      <c r="X22" s="1812"/>
      <c r="Y22" s="3267"/>
      <c r="Z22" s="1813"/>
      <c r="AA22" s="1810">
        <v>1</v>
      </c>
      <c r="AB22" s="1810">
        <v>1</v>
      </c>
      <c r="AC22" s="1810">
        <v>1</v>
      </c>
    </row>
    <row r="23" spans="1:29" s="117" customFormat="1" ht="42.75">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7"/>
      <c r="Q23" s="1794" t="str">
        <f t="shared" si="8"/>
        <v>公共配套设施</v>
      </c>
      <c r="R23" s="770" t="s">
        <v>17</v>
      </c>
      <c r="S23" s="771">
        <f>F23</f>
        <v>100</v>
      </c>
      <c r="T23" s="770" t="s">
        <v>17</v>
      </c>
      <c r="U23" s="771">
        <f>H23</f>
        <v>100</v>
      </c>
      <c r="V23" s="770" t="s">
        <v>17</v>
      </c>
      <c r="W23" s="771">
        <f>J23</f>
        <v>100</v>
      </c>
      <c r="X23" s="772"/>
      <c r="Y23" s="3267"/>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67"/>
      <c r="Q24" s="1794"/>
      <c r="R24" s="770"/>
      <c r="S24" s="771"/>
      <c r="T24" s="770"/>
      <c r="U24" s="771"/>
      <c r="V24" s="770"/>
      <c r="W24" s="771"/>
      <c r="X24" s="772"/>
      <c r="Y24" s="3267"/>
      <c r="Z24" s="55"/>
      <c r="AA24" s="773">
        <v>1</v>
      </c>
      <c r="AB24" s="773">
        <v>1</v>
      </c>
      <c r="AC24" s="773">
        <v>1</v>
      </c>
    </row>
    <row r="25" spans="1:29" s="117" customFormat="1" ht="28.5">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7"/>
      <c r="Q25" s="1794" t="str">
        <f t="shared" ref="Q25" si="9">B25</f>
        <v>基础设施水平</v>
      </c>
      <c r="R25" s="770" t="s">
        <v>17</v>
      </c>
      <c r="S25" s="771">
        <f>F25</f>
        <v>100</v>
      </c>
      <c r="T25" s="770" t="s">
        <v>17</v>
      </c>
      <c r="U25" s="771">
        <f>H25</f>
        <v>100</v>
      </c>
      <c r="V25" s="770" t="s">
        <v>17</v>
      </c>
      <c r="W25" s="771">
        <f>J25</f>
        <v>100</v>
      </c>
      <c r="X25" s="772"/>
      <c r="Y25" s="3267"/>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67"/>
      <c r="Q26" s="1794"/>
      <c r="R26" s="770"/>
      <c r="S26" s="771"/>
      <c r="T26" s="770"/>
      <c r="U26" s="771"/>
      <c r="V26" s="770"/>
      <c r="W26" s="771"/>
      <c r="X26" s="772"/>
      <c r="Y26" s="326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7"/>
      <c r="Z27" s="1813" t="str">
        <f t="shared" ref="Z27:Z40" si="13">Q27</f>
        <v>临街状况</v>
      </c>
      <c r="AA27" s="1810">
        <f t="shared" si="3"/>
        <v>1</v>
      </c>
      <c r="AB27" s="1810">
        <f t="shared" si="4"/>
        <v>1</v>
      </c>
      <c r="AC27" s="1810">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7"/>
      <c r="Q28" s="1809" t="str">
        <f t="shared" si="8"/>
        <v>毗邻道路的类型与等级</v>
      </c>
      <c r="R28" s="774" t="s">
        <v>17</v>
      </c>
      <c r="S28" s="775">
        <f t="shared" si="10"/>
        <v>100</v>
      </c>
      <c r="T28" s="774" t="s">
        <v>17</v>
      </c>
      <c r="U28" s="775">
        <f t="shared" si="11"/>
        <v>100</v>
      </c>
      <c r="V28" s="774" t="s">
        <v>17</v>
      </c>
      <c r="W28" s="775">
        <f t="shared" si="12"/>
        <v>100</v>
      </c>
      <c r="X28" s="1812"/>
      <c r="Y28" s="3267"/>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67"/>
      <c r="Q29" s="1809"/>
      <c r="R29" s="774"/>
      <c r="S29" s="775"/>
      <c r="T29" s="774"/>
      <c r="U29" s="775"/>
      <c r="V29" s="774"/>
      <c r="W29" s="775"/>
      <c r="X29" s="1812"/>
      <c r="Y29" s="3267"/>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7"/>
      <c r="Q30" s="1809" t="str">
        <f t="shared" si="8"/>
        <v>土地级别</v>
      </c>
      <c r="R30" s="774" t="s">
        <v>17</v>
      </c>
      <c r="S30" s="775">
        <f t="shared" si="10"/>
        <v>100</v>
      </c>
      <c r="T30" s="774" t="s">
        <v>17</v>
      </c>
      <c r="U30" s="775">
        <f t="shared" si="11"/>
        <v>100</v>
      </c>
      <c r="V30" s="774" t="s">
        <v>17</v>
      </c>
      <c r="W30" s="775">
        <f t="shared" si="12"/>
        <v>100</v>
      </c>
      <c r="X30" s="1812"/>
      <c r="Y30" s="3267"/>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7"/>
      <c r="Q31" s="1809">
        <f t="shared" si="8"/>
        <v>111</v>
      </c>
      <c r="R31" s="774" t="s">
        <v>17</v>
      </c>
      <c r="S31" s="775">
        <f t="shared" si="10"/>
        <v>100</v>
      </c>
      <c r="T31" s="774" t="s">
        <v>17</v>
      </c>
      <c r="U31" s="775">
        <f t="shared" si="11"/>
        <v>100</v>
      </c>
      <c r="V31" s="774" t="s">
        <v>17</v>
      </c>
      <c r="W31" s="775">
        <f t="shared" si="12"/>
        <v>100</v>
      </c>
      <c r="X31" s="1812"/>
      <c r="Y31" s="3267"/>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2" t="s">
        <v>2565</v>
      </c>
      <c r="Q32" s="1809">
        <f t="shared" si="8"/>
        <v>111</v>
      </c>
      <c r="R32" s="774" t="s">
        <v>17</v>
      </c>
      <c r="S32" s="775">
        <f t="shared" si="10"/>
        <v>100</v>
      </c>
      <c r="T32" s="774" t="s">
        <v>17</v>
      </c>
      <c r="U32" s="775">
        <f t="shared" si="11"/>
        <v>100</v>
      </c>
      <c r="V32" s="774" t="s">
        <v>17</v>
      </c>
      <c r="W32" s="775">
        <f t="shared" si="12"/>
        <v>100</v>
      </c>
      <c r="X32" s="1812"/>
      <c r="Y32" s="3271" t="s">
        <v>2565</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1"/>
      <c r="Q33" s="1809">
        <f t="shared" si="8"/>
        <v>111</v>
      </c>
      <c r="R33" s="777" t="s">
        <v>17</v>
      </c>
      <c r="S33" s="778">
        <f t="shared" si="10"/>
        <v>100</v>
      </c>
      <c r="T33" s="777" t="s">
        <v>17</v>
      </c>
      <c r="U33" s="778">
        <f t="shared" si="11"/>
        <v>100</v>
      </c>
      <c r="V33" s="777" t="s">
        <v>17</v>
      </c>
      <c r="W33" s="778">
        <f t="shared" si="12"/>
        <v>100</v>
      </c>
      <c r="X33" s="779"/>
      <c r="Y33" s="3271"/>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1"/>
      <c r="Q34" s="1809" t="str">
        <f>B34</f>
        <v>宗地面积</v>
      </c>
      <c r="R34" s="774" t="s">
        <v>17</v>
      </c>
      <c r="S34" s="775" t="e">
        <f t="shared" si="10"/>
        <v>#N/A</v>
      </c>
      <c r="T34" s="774" t="s">
        <v>17</v>
      </c>
      <c r="U34" s="775" t="e">
        <f t="shared" si="11"/>
        <v>#N/A</v>
      </c>
      <c r="V34" s="774" t="s">
        <v>17</v>
      </c>
      <c r="W34" s="775" t="e">
        <f t="shared" si="12"/>
        <v>#N/A</v>
      </c>
      <c r="X34" s="1812"/>
      <c r="Y34" s="3271"/>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1"/>
      <c r="Q35" s="1809" t="str">
        <f t="shared" ref="Q35:Q40" si="14">B35</f>
        <v>宗地形状</v>
      </c>
      <c r="R35" s="774" t="s">
        <v>17</v>
      </c>
      <c r="S35" s="775">
        <f t="shared" si="10"/>
        <v>100</v>
      </c>
      <c r="T35" s="774" t="s">
        <v>17</v>
      </c>
      <c r="U35" s="775">
        <f t="shared" si="11"/>
        <v>100</v>
      </c>
      <c r="V35" s="774" t="s">
        <v>17</v>
      </c>
      <c r="W35" s="775">
        <f t="shared" si="12"/>
        <v>100</v>
      </c>
      <c r="X35" s="1812"/>
      <c r="Y35" s="3271"/>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1"/>
      <c r="Q36" s="1809" t="str">
        <f t="shared" si="14"/>
        <v>宗地开发程度</v>
      </c>
      <c r="R36" s="770" t="s">
        <v>17</v>
      </c>
      <c r="S36" s="771">
        <f t="shared" si="10"/>
        <v>100</v>
      </c>
      <c r="T36" s="770" t="s">
        <v>17</v>
      </c>
      <c r="U36" s="771">
        <f t="shared" si="11"/>
        <v>100</v>
      </c>
      <c r="V36" s="770" t="s">
        <v>17</v>
      </c>
      <c r="W36" s="771">
        <f t="shared" si="12"/>
        <v>100</v>
      </c>
      <c r="X36" s="772"/>
      <c r="Y36" s="3271"/>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1" t="s">
        <v>2565</v>
      </c>
      <c r="Q37" s="1809" t="str">
        <f t="shared" si="14"/>
        <v>工程地质条件</v>
      </c>
      <c r="R37" s="774" t="s">
        <v>17</v>
      </c>
      <c r="S37" s="775">
        <f t="shared" si="10"/>
        <v>100</v>
      </c>
      <c r="T37" s="774" t="s">
        <v>17</v>
      </c>
      <c r="U37" s="775">
        <f t="shared" si="11"/>
        <v>100</v>
      </c>
      <c r="V37" s="774" t="s">
        <v>17</v>
      </c>
      <c r="W37" s="775">
        <f t="shared" si="12"/>
        <v>100</v>
      </c>
      <c r="X37" s="1812"/>
      <c r="Y37" s="3271"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1"/>
      <c r="Q38" s="1809">
        <f t="shared" si="14"/>
        <v>111</v>
      </c>
      <c r="R38" s="774" t="s">
        <v>17</v>
      </c>
      <c r="S38" s="775">
        <f t="shared" si="10"/>
        <v>100</v>
      </c>
      <c r="T38" s="774" t="s">
        <v>17</v>
      </c>
      <c r="U38" s="775">
        <f t="shared" si="11"/>
        <v>100</v>
      </c>
      <c r="V38" s="774" t="s">
        <v>17</v>
      </c>
      <c r="W38" s="775">
        <f t="shared" si="12"/>
        <v>100</v>
      </c>
      <c r="X38" s="1812"/>
      <c r="Y38" s="327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1"/>
      <c r="Q39" s="1809">
        <f t="shared" si="14"/>
        <v>111</v>
      </c>
      <c r="R39" s="774" t="s">
        <v>17</v>
      </c>
      <c r="S39" s="775">
        <f t="shared" si="10"/>
        <v>100</v>
      </c>
      <c r="T39" s="774" t="s">
        <v>17</v>
      </c>
      <c r="U39" s="775">
        <f t="shared" si="11"/>
        <v>100</v>
      </c>
      <c r="V39" s="774" t="s">
        <v>17</v>
      </c>
      <c r="W39" s="775">
        <f t="shared" si="12"/>
        <v>100</v>
      </c>
      <c r="X39" s="1812"/>
      <c r="Y39" s="3271"/>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1"/>
      <c r="Q40" s="1809">
        <f t="shared" si="14"/>
        <v>111</v>
      </c>
      <c r="R40" s="777" t="s">
        <v>17</v>
      </c>
      <c r="S40" s="778">
        <f t="shared" si="10"/>
        <v>100</v>
      </c>
      <c r="T40" s="777" t="s">
        <v>17</v>
      </c>
      <c r="U40" s="778">
        <f t="shared" si="11"/>
        <v>100</v>
      </c>
      <c r="V40" s="777" t="s">
        <v>17</v>
      </c>
      <c r="W40" s="778">
        <f t="shared" si="12"/>
        <v>100</v>
      </c>
      <c r="X40" s="779"/>
      <c r="Y40" s="3271"/>
      <c r="Z40" s="780">
        <f t="shared" si="13"/>
        <v>111</v>
      </c>
      <c r="AA40" s="1810">
        <f t="shared" si="3"/>
        <v>1</v>
      </c>
      <c r="AB40" s="1810">
        <f t="shared" si="4"/>
        <v>1</v>
      </c>
      <c r="AC40" s="1810">
        <f t="shared" si="5"/>
        <v>1</v>
      </c>
    </row>
    <row r="41" spans="1:29" ht="15">
      <c r="A41" s="479" t="s">
        <v>2720</v>
      </c>
      <c r="B41" s="2704" t="s">
        <v>2800</v>
      </c>
      <c r="C41" s="682" t="s">
        <v>1</v>
      </c>
      <c r="D41" s="481"/>
      <c r="E41" s="482"/>
      <c r="F41" s="483"/>
      <c r="G41" s="484"/>
      <c r="H41" s="485"/>
      <c r="I41" s="482"/>
      <c r="J41" s="485"/>
      <c r="K41" s="783"/>
      <c r="L41" s="1143"/>
      <c r="M41" s="1131"/>
      <c r="N41" s="1131"/>
      <c r="O41" s="1144"/>
      <c r="P41" s="3264" t="str">
        <f>A41</f>
        <v>成交单价</v>
      </c>
      <c r="Q41" s="3264"/>
      <c r="R41" s="3259">
        <f>E41</f>
        <v>0</v>
      </c>
      <c r="S41" s="3259"/>
      <c r="T41" s="3259">
        <f>G41</f>
        <v>0</v>
      </c>
      <c r="U41" s="3259"/>
      <c r="V41" s="3259">
        <f>I41</f>
        <v>0</v>
      </c>
      <c r="W41" s="3259"/>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64" t="str">
        <f>A42</f>
        <v>比较价值（元/平方米）</v>
      </c>
      <c r="Q42" s="3264"/>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94" t="e">
        <f>ROUND(AVERAGE(R42:V42),0)</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5" t="s">
        <v>2760</v>
      </c>
      <c r="D50" s="2706" t="s">
        <v>2761</v>
      </c>
      <c r="E50" s="686" t="s">
        <v>2762</v>
      </c>
      <c r="F50" s="687" t="s">
        <v>2763</v>
      </c>
      <c r="G50" s="3247" t="s">
        <v>2764</v>
      </c>
      <c r="H50" s="3295"/>
      <c r="I50" s="1813" t="s">
        <v>2801</v>
      </c>
      <c r="J50" s="1813">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7700.0099999999984</v>
      </c>
      <c r="F51" s="691" t="e">
        <f t="shared" ref="F51:F60" si="15">ROUND(B51*E51/10000,0)</f>
        <v>#DIV/0!</v>
      </c>
      <c r="G51" s="3246"/>
      <c r="H51" s="326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9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9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9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9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373.16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1" t="s">
        <v>2782</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2802</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69"/>
      <c r="L1" s="2718" t="s">
        <v>2806</v>
      </c>
      <c r="M1" s="1080">
        <f>SUMPRODUCT((区片价!B5:B9=I2)*(区片价!C3:F3=E2)*(区片价!C5:F9))</f>
        <v>0</v>
      </c>
      <c r="N1" s="1083">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1" t="s">
        <v>2819</v>
      </c>
      <c r="D3" s="2722" t="s">
        <v>2820</v>
      </c>
      <c r="E3" s="2727"/>
      <c r="F3" s="2728" t="s">
        <v>2821</v>
      </c>
      <c r="G3" s="916">
        <f>IF(F3="宗地容积率",'数据-汇总表'!I4,IF(F3="估价对象容积率",'数据-汇总表'!I6,'数据-汇总表'!I7))</f>
        <v>20.63</v>
      </c>
      <c r="H3" s="198" t="s">
        <v>2822</v>
      </c>
      <c r="I3" s="944"/>
      <c r="J3" s="2725" t="s">
        <v>2823</v>
      </c>
      <c r="K3" s="1369"/>
      <c r="L3" s="2726"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7"/>
      <c r="B4" s="3318"/>
      <c r="C4" s="3318"/>
      <c r="D4" s="3319"/>
      <c r="E4" s="3319"/>
      <c r="F4" s="3319"/>
      <c r="G4" s="3319"/>
      <c r="H4" s="3319"/>
      <c r="I4" s="3319"/>
      <c r="J4" s="3320"/>
      <c r="K4" s="1369"/>
      <c r="L4" s="2726"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2826</v>
      </c>
      <c r="C5" s="917" t="e">
        <f>ROUND(IF(E2="商业",C6*C7+C16,(IF(E2="住宅",C6*C12+C16,C6+C16))),0)</f>
        <v>#DIV/0!</v>
      </c>
      <c r="D5" s="1786" t="e">
        <f>ROUND(C6+C16,0)</f>
        <v>#DIV/0!</v>
      </c>
      <c r="E5" s="1786"/>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2828</v>
      </c>
      <c r="B6" s="2740" t="s">
        <v>2829</v>
      </c>
      <c r="C6" s="918">
        <f>SUMIF(L1:L12,G2,M1:M12)</f>
        <v>0</v>
      </c>
      <c r="D6" s="2741" t="s">
        <v>2830</v>
      </c>
      <c r="E6" s="2742"/>
      <c r="F6" s="2742"/>
      <c r="G6" s="2743"/>
      <c r="H6" s="2743"/>
      <c r="I6" s="2743"/>
      <c r="J6" s="2744"/>
      <c r="K6" s="1841"/>
      <c r="L6" s="2726"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1" t="str">
        <f>IF(E2="商业",IF(C8="不临58条商业街","",2),"")</f>
        <v/>
      </c>
      <c r="B7" s="2745" t="s">
        <v>2832</v>
      </c>
      <c r="C7" s="919" t="e">
        <f>IF(C8="不临58条商业街",1,ROUND(1+(1.6*E8+1.2*E9+0.8*E10+0.4*E11)*C9,4))</f>
        <v>#DIV/0!</v>
      </c>
      <c r="D7" s="2746" t="s">
        <v>2833</v>
      </c>
      <c r="E7" s="945"/>
      <c r="F7" s="2747"/>
      <c r="G7" s="2748"/>
      <c r="H7" s="2748"/>
      <c r="I7" s="2748"/>
      <c r="J7" s="2749"/>
      <c r="K7" s="1841"/>
      <c r="L7" s="2726"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20.63</v>
      </c>
      <c r="AA7" s="1605"/>
      <c r="AB7" s="1605"/>
      <c r="AC7" s="1606"/>
      <c r="AD7" s="1607"/>
      <c r="AE7" s="1607"/>
      <c r="AF7" s="1607"/>
      <c r="AG7" s="1607"/>
      <c r="AH7" s="1607"/>
      <c r="AI7" s="1607"/>
      <c r="AJ7" s="1608"/>
    </row>
    <row r="8" spans="1:36" ht="15">
      <c r="A8" s="3321"/>
      <c r="B8" s="198" t="s">
        <v>2837</v>
      </c>
      <c r="C8" s="2750"/>
      <c r="D8" s="920" t="s">
        <v>139</v>
      </c>
      <c r="E8" s="921" t="e">
        <f>ROUND(C11/E7,4)</f>
        <v>#DIV/0!</v>
      </c>
      <c r="F8" s="2751" t="s">
        <v>2838</v>
      </c>
      <c r="G8" s="2752"/>
      <c r="H8" s="2752"/>
      <c r="I8" s="2752"/>
      <c r="J8" s="2753"/>
      <c r="K8" s="1369"/>
      <c r="L8" s="2726"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4" t="s">
        <v>2840</v>
      </c>
      <c r="X8" s="3315"/>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21"/>
      <c r="B9" s="198" t="s">
        <v>2853</v>
      </c>
      <c r="C9" s="922">
        <f>SUMIF(修正!C59:C119,C8,修正!E59:E119)</f>
        <v>0</v>
      </c>
      <c r="D9" s="200" t="s">
        <v>140</v>
      </c>
      <c r="E9" s="200" t="e">
        <f>ROUND(C11/E7,4)</f>
        <v>#DIV/0!</v>
      </c>
      <c r="F9" s="2751" t="s">
        <v>2854</v>
      </c>
      <c r="G9" s="2752"/>
      <c r="H9" s="2752"/>
      <c r="I9" s="2752"/>
      <c r="J9" s="2753"/>
      <c r="K9" s="1369"/>
      <c r="L9" s="2726"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6"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1"/>
      <c r="B10" s="198" t="s">
        <v>2858</v>
      </c>
      <c r="C10" s="200">
        <f>SUMIF(修正!C59:C119,C8,修正!F59:F119)</f>
        <v>0</v>
      </c>
      <c r="D10" s="200" t="s">
        <v>141</v>
      </c>
      <c r="E10" s="200" t="e">
        <f>ROUND(C11/E7,4)</f>
        <v>#DIV/0!</v>
      </c>
      <c r="F10" s="2751" t="s">
        <v>2859</v>
      </c>
      <c r="G10" s="2752"/>
      <c r="H10" s="2752"/>
      <c r="I10" s="2752"/>
      <c r="J10" s="2753"/>
      <c r="K10" s="1369"/>
      <c r="L10" s="2726"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1"/>
      <c r="B11" s="2754" t="s">
        <v>2861</v>
      </c>
      <c r="C11" s="923">
        <f>C10/4</f>
        <v>0</v>
      </c>
      <c r="D11" s="923" t="s">
        <v>142</v>
      </c>
      <c r="E11" s="923" t="e">
        <f>ROUND(C11/E7,4)</f>
        <v>#DIV/0!</v>
      </c>
      <c r="F11" s="2755" t="s">
        <v>2862</v>
      </c>
      <c r="G11" s="2756"/>
      <c r="H11" s="2756"/>
      <c r="I11" s="2756"/>
      <c r="J11" s="2757"/>
      <c r="K11" s="1369"/>
      <c r="L11" s="2726"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6" t="s">
        <v>2864</v>
      </c>
      <c r="X11" s="1613" t="s">
        <v>2865</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1" t="s">
        <v>2866</v>
      </c>
      <c r="B12" s="2758" t="s">
        <v>2867</v>
      </c>
      <c r="C12" s="919">
        <f>ROUND(C15*D15*E15*F15*G15*H15*I15*J15,4)</f>
        <v>1</v>
      </c>
      <c r="D12" s="2759" t="s">
        <v>2868</v>
      </c>
      <c r="E12" s="2760"/>
      <c r="F12" s="2760"/>
      <c r="G12" s="2761"/>
      <c r="H12" s="2761"/>
      <c r="I12" s="2761"/>
      <c r="J12" s="2762"/>
      <c r="K12" s="1369"/>
      <c r="L12" s="2763"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6"/>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2"/>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t="e">
        <f t="shared" si="0"/>
        <v>#DIV/0!</v>
      </c>
      <c r="U13" s="1602"/>
      <c r="V13" s="1601" t="e">
        <f t="shared" si="1"/>
        <v>#DIV/0!</v>
      </c>
      <c r="W13" s="3316"/>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2"/>
      <c r="B14" s="2768"/>
      <c r="C14" s="2769"/>
      <c r="D14" s="2770"/>
      <c r="E14" s="2770"/>
      <c r="F14" s="2771"/>
      <c r="G14" s="2772" t="s">
        <v>2877</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3"/>
      <c r="B15" s="2776"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1" t="s">
        <v>2883</v>
      </c>
      <c r="B16" s="2745" t="s">
        <v>2884</v>
      </c>
      <c r="C16" s="2932" t="e">
        <f>ROUND(IF(F17="与级别开发程度一致",0,(G17-E17)/C17),0)</f>
        <v>#DIV/0!</v>
      </c>
      <c r="D16" s="3312" t="s">
        <v>2888</v>
      </c>
      <c r="E16" s="3313"/>
      <c r="F16" s="3312" t="s">
        <v>2885</v>
      </c>
      <c r="G16" s="331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2"/>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2890</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2891</v>
      </c>
      <c r="C19" s="924" t="e">
        <f>ROUND(IF(H19="按公示增长率计算",SUMPRODUCT((地价!A3:A30=YEAR(G19)&amp;"-"&amp;ROUNDUP(MONTH(G19)/3,0))*(地价!X2:AB2=E2)*(地价!X3:AB30)),IF(H19="地价指数",M20/M19,(1+I19)^O19)),4)</f>
        <v>#VALUE!</v>
      </c>
      <c r="D19" s="2789" t="s">
        <v>2892</v>
      </c>
      <c r="E19" s="925">
        <v>41640</v>
      </c>
      <c r="F19" s="2789" t="s">
        <v>2893</v>
      </c>
      <c r="G19" s="926">
        <f>'数据-取费表'!B2</f>
        <v>43973</v>
      </c>
      <c r="H19" s="2790"/>
      <c r="I19" s="927" t="str">
        <f>IF(H19="季度增幅（自定义）",SUMIF(N21:N24,E2,O21:O24),"")</f>
        <v/>
      </c>
      <c r="J19" s="2787"/>
      <c r="K19" s="1376"/>
      <c r="L19" s="2791" t="s">
        <v>2894</v>
      </c>
      <c r="M19" s="1733">
        <f>ROUND(SUMIF(地价!B2:F2,E2,地价!B30:F30),0)</f>
        <v>0</v>
      </c>
      <c r="N19" s="2792" t="s">
        <v>2895</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2896</v>
      </c>
      <c r="C20" s="929" t="e">
        <f>ROUND(POWER(1+G20,J20-I20)*(POWER(1+G20,I20)-1)/(POWER(1+G20,J20)-1),4)</f>
        <v>#DIV/0!</v>
      </c>
      <c r="D20" s="2798" t="s">
        <v>2897</v>
      </c>
      <c r="E20" s="1767">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6"/>
      <c r="L20" s="2799" t="s">
        <v>2899</v>
      </c>
      <c r="M20" s="1734">
        <f>ROUND(SUMPRODUCT((地价!A4:A30=YEAR(G19)&amp;"-"&amp;ROUNDUP(MONTH(G19)/3,0))*(地价!B2:F2=E2)*(地价!B4:F30)),0)</f>
        <v>0</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2903</v>
      </c>
      <c r="C21" s="937">
        <f>IF(B21="容积率修正",IF(G3&lt;=10,D22,J22),C23)</f>
        <v>0</v>
      </c>
      <c r="D21" s="2805"/>
      <c r="E21" s="2805"/>
      <c r="F21" s="2805"/>
      <c r="G21" s="2805"/>
      <c r="H21" s="2805"/>
      <c r="I21" s="2805"/>
      <c r="J21" s="2806"/>
      <c r="K21" s="1376"/>
      <c r="N21" s="2807" t="s">
        <v>2904</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2905</v>
      </c>
      <c r="B22" s="2808" t="s">
        <v>2906</v>
      </c>
      <c r="C22" s="1809" t="s">
        <v>2907</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2908</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2911</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2912</v>
      </c>
      <c r="C24" s="924">
        <f>SUMIF(A45:A88,E2,B45:B88)</f>
        <v>0</v>
      </c>
      <c r="D24" s="2786"/>
      <c r="E24" s="2815"/>
      <c r="F24" s="2815"/>
      <c r="G24" s="2815"/>
      <c r="H24" s="2815"/>
      <c r="I24" s="2815"/>
      <c r="J24" s="2816"/>
      <c r="K24" s="1376"/>
      <c r="N24" s="2817" t="s">
        <v>2913</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2914</v>
      </c>
      <c r="C25" s="930"/>
      <c r="D25" s="2748"/>
      <c r="E25" s="2748"/>
      <c r="F25" s="2819"/>
      <c r="G25" s="2748"/>
      <c r="H25" s="2748"/>
      <c r="I25" s="2748"/>
      <c r="J25" s="2749"/>
      <c r="K25" s="1369"/>
      <c r="N25" s="2820" t="s">
        <v>2915</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2916</v>
      </c>
      <c r="C26" s="206" t="e">
        <f>E29+SUM(E33:E39)</f>
        <v>#DIV/0!</v>
      </c>
      <c r="D26" s="2822"/>
      <c r="E26" s="2773"/>
      <c r="F26" s="2823"/>
      <c r="G26" s="2773"/>
      <c r="H26" s="2773"/>
      <c r="I26" s="2773"/>
      <c r="J26" s="2824"/>
      <c r="K26" s="1369"/>
      <c r="L26" s="2777" t="s">
        <v>2814</v>
      </c>
      <c r="M26" s="920" t="s">
        <v>2879</v>
      </c>
      <c r="N26" s="920" t="s">
        <v>2880</v>
      </c>
      <c r="O26" s="920" t="s">
        <v>2881</v>
      </c>
      <c r="P26" s="2778" t="s">
        <v>2882</v>
      </c>
      <c r="R26" s="1375"/>
      <c r="S26" s="1375"/>
      <c r="T26" s="1370"/>
      <c r="U26" s="1370"/>
      <c r="V26" s="1370"/>
      <c r="W26" s="1369"/>
      <c r="X26" s="1369"/>
      <c r="Y26" s="1369"/>
      <c r="Z26" s="1376"/>
      <c r="AA26" s="1377"/>
      <c r="AB26" s="1377"/>
      <c r="AC26" s="1377"/>
      <c r="AD26" s="1377"/>
    </row>
    <row r="27" spans="1:37" ht="15.75" thickBot="1">
      <c r="A27" s="2821"/>
      <c r="B27" s="2825" t="s">
        <v>2917</v>
      </c>
      <c r="C27" s="931" t="e">
        <f>E30+SUM(I33:I39)</f>
        <v>#DIV/0!</v>
      </c>
      <c r="D27" s="2826"/>
      <c r="E27" s="2827"/>
      <c r="F27" s="2828"/>
      <c r="G27" s="2827"/>
      <c r="H27" s="2827"/>
      <c r="I27" s="2827"/>
      <c r="J27" s="2829"/>
      <c r="K27" s="1369"/>
      <c r="L27" s="2781"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2918</v>
      </c>
      <c r="C28" s="2832" t="s">
        <v>2919</v>
      </c>
      <c r="D28" s="2832" t="s">
        <v>2920</v>
      </c>
      <c r="E28" s="2833" t="s">
        <v>2921</v>
      </c>
      <c r="F28" s="2834"/>
      <c r="G28" s="2761"/>
      <c r="H28" s="2761"/>
      <c r="I28" s="2761"/>
      <c r="J28" s="2762"/>
      <c r="K28" s="1369"/>
      <c r="L28" s="2782"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6" t="e">
        <f>ROUND(C5*C18*C19*C20*C21*C24,0)</f>
        <v>#DIV/0!</v>
      </c>
      <c r="D29" s="2837"/>
      <c r="E29" s="942" t="e">
        <f>ROUND(C29*D29/10000,0)</f>
        <v>#DIV/0!</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2924</v>
      </c>
      <c r="C30" s="229" t="e">
        <f>ROUND(IF(E2="工业",C29*M39,C29*M38),0)</f>
        <v>#DIV/0!</v>
      </c>
      <c r="D30" s="2843"/>
      <c r="E30" s="942" t="e">
        <f>ROUND(C30*D30/10000,0)</f>
        <v>#DIV/0!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2919</v>
      </c>
      <c r="D32" s="498" t="s">
        <v>2920</v>
      </c>
      <c r="E32" s="498" t="s">
        <v>2921</v>
      </c>
      <c r="F32" s="388" t="s">
        <v>2929</v>
      </c>
      <c r="G32" s="2852" t="s">
        <v>2919</v>
      </c>
      <c r="H32" s="2852" t="s">
        <v>2920</v>
      </c>
      <c r="I32" s="2852"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09"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0"/>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0"/>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1"/>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2938</v>
      </c>
      <c r="M38" s="2858">
        <v>0.25</v>
      </c>
      <c r="N38" s="1369"/>
      <c r="O38" s="1369"/>
      <c r="P38" s="1369"/>
      <c r="Q38" s="1369"/>
      <c r="R38" s="1369"/>
      <c r="S38" s="1369"/>
      <c r="T38" s="1369"/>
      <c r="U38" s="1369"/>
      <c r="V38" s="1369"/>
      <c r="W38" s="1369"/>
      <c r="X38" s="1369"/>
      <c r="Y38" s="1369"/>
      <c r="Z38" s="1370"/>
    </row>
    <row r="39" spans="1:37" ht="13.5"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3045</v>
      </c>
      <c r="C41" s="388" t="e">
        <f>ROUND(POWER(1+E41,H41-G41)*(POWER(1+E41,G41)-1)/(POWER(1+E41,H41)-1),4)</f>
        <v>#DIV/0!</v>
      </c>
      <c r="D41" s="200" t="s">
        <v>2889</v>
      </c>
      <c r="E41" s="2929">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2941</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2942</v>
      </c>
      <c r="B47" s="1808" t="s">
        <v>2943</v>
      </c>
      <c r="C47" s="1808" t="s">
        <v>2944</v>
      </c>
      <c r="D47" s="1808" t="s">
        <v>2945</v>
      </c>
      <c r="E47" s="819" t="s">
        <v>2946</v>
      </c>
      <c r="F47" s="2871" t="s">
        <v>2947</v>
      </c>
      <c r="G47" s="1808" t="s">
        <v>754</v>
      </c>
      <c r="H47" s="2872"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0" t="s">
        <v>2950</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2951</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2953</v>
      </c>
      <c r="B51" s="2875" t="s">
        <v>2954</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2956</v>
      </c>
      <c r="B53" s="2876" t="s">
        <v>2957</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2958</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2959</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2960</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2961</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2942</v>
      </c>
      <c r="B58" s="1808"/>
      <c r="C58" s="1808" t="s">
        <v>2944</v>
      </c>
      <c r="D58" s="1808" t="s">
        <v>2945</v>
      </c>
      <c r="E58" s="819" t="s">
        <v>2946</v>
      </c>
      <c r="F58" s="2871" t="s">
        <v>2962</v>
      </c>
      <c r="G58" s="1808" t="s">
        <v>754</v>
      </c>
      <c r="H58" s="2872"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0" t="s">
        <v>2963</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2951</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2953</v>
      </c>
      <c r="B62" s="2875" t="s">
        <v>2954</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2956</v>
      </c>
      <c r="B64" s="2876" t="s">
        <v>2957</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2958</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2959</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2960</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2964</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2942</v>
      </c>
      <c r="B69" s="1808"/>
      <c r="C69" s="1808" t="s">
        <v>2944</v>
      </c>
      <c r="D69" s="1808" t="s">
        <v>2945</v>
      </c>
      <c r="E69" s="819" t="s">
        <v>2946</v>
      </c>
      <c r="F69" s="2871" t="s">
        <v>2962</v>
      </c>
      <c r="G69" s="1808" t="s">
        <v>754</v>
      </c>
      <c r="H69" s="2872"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2951</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2966</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2958</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2959</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2956</v>
      </c>
      <c r="B76" s="2876" t="s">
        <v>2957</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2960</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2967</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2968</v>
      </c>
      <c r="B79" s="2867">
        <f>1+E81</f>
        <v>1</v>
      </c>
      <c r="C79" s="814"/>
      <c r="D79" s="814"/>
      <c r="E79" s="815"/>
      <c r="F79" s="2869"/>
      <c r="G79" s="6"/>
      <c r="H79" s="6"/>
      <c r="I79" s="6"/>
      <c r="J79" s="7"/>
      <c r="K79" s="7"/>
      <c r="L79" s="7"/>
      <c r="M79" s="7"/>
      <c r="N79" s="7"/>
      <c r="Z79" s="2720"/>
      <c r="AA79" s="2788"/>
      <c r="AG79" s="1371"/>
      <c r="AK79" s="2788"/>
    </row>
    <row r="80" spans="1:37" ht="24.75">
      <c r="A80" s="2870" t="s">
        <v>2942</v>
      </c>
      <c r="B80" s="1808"/>
      <c r="C80" s="1808" t="s">
        <v>2944</v>
      </c>
      <c r="D80" s="1808" t="s">
        <v>2945</v>
      </c>
      <c r="E80" s="819" t="s">
        <v>2946</v>
      </c>
      <c r="F80" s="2871" t="s">
        <v>2962</v>
      </c>
      <c r="G80" s="1808" t="s">
        <v>754</v>
      </c>
      <c r="H80" s="2872" t="s">
        <v>2948</v>
      </c>
      <c r="I80" s="1808" t="s">
        <v>2949</v>
      </c>
      <c r="J80" s="603" t="s">
        <v>2597</v>
      </c>
      <c r="K80" s="603" t="s">
        <v>2598</v>
      </c>
      <c r="L80" s="603" t="s">
        <v>2599</v>
      </c>
      <c r="M80" s="603" t="s">
        <v>2600</v>
      </c>
      <c r="N80" s="603" t="s">
        <v>2601</v>
      </c>
      <c r="Z80" s="2720"/>
      <c r="AA80" s="2788"/>
      <c r="AG80" s="1371"/>
      <c r="AK80" s="2788"/>
    </row>
    <row r="81" spans="1:37" ht="38.25">
      <c r="A81" s="2870" t="s">
        <v>2969</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2951</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2966</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2958</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2959</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2956</v>
      </c>
      <c r="B87" s="2876" t="s">
        <v>2970</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2971</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3" t="s">
        <v>2972</v>
      </c>
      <c r="B90" s="3303"/>
      <c r="C90" s="3303"/>
      <c r="D90" s="3303"/>
      <c r="E90" s="3303"/>
      <c r="F90" s="3303"/>
      <c r="G90" s="3303"/>
      <c r="H90" s="3303"/>
      <c r="I90" s="3303"/>
      <c r="J90" s="3303"/>
      <c r="K90" s="2884"/>
      <c r="L90" s="2884"/>
      <c r="M90" s="2884"/>
      <c r="N90" s="2884"/>
    </row>
    <row r="91" spans="1:37">
      <c r="A91" s="3305" t="s">
        <v>2973</v>
      </c>
      <c r="B91" s="3305" t="s">
        <v>2974</v>
      </c>
      <c r="C91" s="2838" t="s">
        <v>2975</v>
      </c>
      <c r="D91" s="2839"/>
      <c r="E91" s="2839"/>
      <c r="F91" s="2839"/>
      <c r="G91" s="2839"/>
      <c r="H91" s="2839"/>
      <c r="I91" s="2839"/>
      <c r="J91" s="2885"/>
      <c r="K91" s="2886"/>
      <c r="L91" s="2886"/>
      <c r="M91" s="2886"/>
      <c r="N91" s="2886"/>
    </row>
    <row r="92" spans="1:37">
      <c r="A92" s="3305"/>
      <c r="B92" s="330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06"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7"/>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6" t="s">
        <v>2977</v>
      </c>
      <c r="B101" s="2891" t="s">
        <v>2978</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07"/>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07"/>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07"/>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07"/>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07"/>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07"/>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07"/>
      <c r="B108" s="3134"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8"/>
      <c r="B109" s="3135"/>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4" t="s">
        <v>2980</v>
      </c>
      <c r="B110" s="3304"/>
      <c r="C110" s="3304"/>
      <c r="D110" s="3304"/>
      <c r="E110" s="3304"/>
      <c r="F110" s="3304"/>
      <c r="G110" s="3304"/>
      <c r="H110" s="3304"/>
      <c r="I110" s="3304"/>
      <c r="J110" s="3304"/>
      <c r="K110" s="2893"/>
      <c r="L110" s="2893"/>
      <c r="M110" s="2893"/>
      <c r="N110" s="2893"/>
    </row>
    <row r="112" spans="1:14" ht="13.5" thickBot="1"/>
    <row r="113" spans="1:13" ht="25.5" thickBot="1">
      <c r="A113" s="903" t="s">
        <v>2981</v>
      </c>
      <c r="B113" s="1286">
        <f>G3</f>
        <v>20.63</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2880</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2881</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2882</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9"/>
      <c r="B4" s="3001" t="s">
        <v>1624</v>
      </c>
      <c r="C4" s="3001"/>
      <c r="D4" s="3001"/>
      <c r="E4" s="1959"/>
    </row>
    <row r="5" spans="1:5" ht="16.5" thickTop="1">
      <c r="A5" s="1957"/>
      <c r="B5" s="2999" t="s">
        <v>1616</v>
      </c>
      <c r="C5" s="1960" t="s">
        <v>1617</v>
      </c>
      <c r="D5" s="1040">
        <f ca="1">结果表!H101</f>
        <v>38829</v>
      </c>
      <c r="E5" s="1957"/>
    </row>
    <row r="6" spans="1:5" ht="15.75">
      <c r="A6" s="1957"/>
      <c r="B6" s="2999"/>
      <c r="C6" s="1960" t="s">
        <v>1618</v>
      </c>
      <c r="D6" s="1040" t="str">
        <f ca="1">NUMBERSTRING(INT(D5*10000),2)&amp;"元整"</f>
        <v>叁亿捌仟捌佰贰拾玖万元整</v>
      </c>
      <c r="E6" s="1957"/>
    </row>
    <row r="7" spans="1:5" ht="15.75">
      <c r="A7" s="1957"/>
      <c r="B7" s="3004"/>
      <c r="C7" s="1961" t="s">
        <v>1619</v>
      </c>
      <c r="D7" s="1041">
        <f ca="1">结果表!H102</f>
        <v>50427</v>
      </c>
      <c r="E7" s="1957"/>
    </row>
    <row r="8" spans="1:5" ht="15.75">
      <c r="A8" s="1957"/>
      <c r="B8" s="3005" t="str">
        <f>结果表!E103</f>
        <v>2.估价师知悉的法定优先受偿款</v>
      </c>
      <c r="C8" s="1962" t="s">
        <v>1620</v>
      </c>
      <c r="D8" s="1041">
        <f>结果表!H103</f>
        <v>25000</v>
      </c>
      <c r="E8" s="1957"/>
    </row>
    <row r="9" spans="1:5" ht="15.75">
      <c r="A9" s="1957"/>
      <c r="B9" s="3007"/>
      <c r="C9" s="1960" t="s">
        <v>1618</v>
      </c>
      <c r="D9" s="1040" t="str">
        <f>NUMBERSTRING(INT(D8*10000),2)&amp;"元整"</f>
        <v>贰亿伍仟万元整</v>
      </c>
      <c r="E9" s="1957"/>
    </row>
    <row r="10" spans="1:5" ht="15">
      <c r="A10" s="1957"/>
      <c r="B10" s="1963" t="s">
        <v>1623</v>
      </c>
      <c r="C10" s="1964" t="s">
        <v>1621</v>
      </c>
      <c r="D10" s="1042">
        <f>结果表!H104</f>
        <v>25000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8" t="str">
        <f>结果表!E107</f>
        <v>3.房地产抵押价值</v>
      </c>
      <c r="C13" s="1965" t="s">
        <v>1617</v>
      </c>
      <c r="D13" s="1043">
        <f ca="1">结果表!H107</f>
        <v>13829</v>
      </c>
      <c r="E13" s="1957"/>
    </row>
    <row r="14" spans="1:5" ht="15.75">
      <c r="A14" s="1957"/>
      <c r="B14" s="2999"/>
      <c r="C14" s="1960" t="s">
        <v>1618</v>
      </c>
      <c r="D14" s="1040" t="str">
        <f ca="1">NUMBERSTRING(INT(D13*10000),2)&amp;"元整"</f>
        <v>壹亿叁仟捌佰贰拾玖万元整</v>
      </c>
      <c r="E14" s="1957"/>
    </row>
    <row r="15" spans="1:5" ht="15">
      <c r="A15" s="1957"/>
      <c r="B15" s="3004"/>
      <c r="C15" s="1961" t="s">
        <v>1628</v>
      </c>
      <c r="D15" s="1052">
        <f ca="1">结果表!H108</f>
        <v>17960</v>
      </c>
      <c r="E15" s="1957"/>
    </row>
    <row r="16" spans="1:5" ht="15">
      <c r="A16" s="1957"/>
      <c r="B16" s="3005" t="str">
        <f>结果表!E109</f>
        <v>4.抵押担保权已注销时的房地产抵押价值</v>
      </c>
      <c r="C16" s="1965" t="s">
        <v>1629</v>
      </c>
      <c r="D16" s="1966">
        <f ca="1">结果表!H109</f>
        <v>38829</v>
      </c>
      <c r="E16" s="1957"/>
    </row>
    <row r="17" spans="1:5" ht="15.75">
      <c r="A17" s="1957"/>
      <c r="B17" s="3006"/>
      <c r="C17" s="1960" t="s">
        <v>1630</v>
      </c>
      <c r="D17" s="1040" t="str">
        <f ca="1">NUMBERSTRING(INT(D16*10000),2)&amp;"元整"</f>
        <v>叁亿捌仟捌佰贰拾玖万元整</v>
      </c>
      <c r="E17" s="1957"/>
    </row>
    <row r="18" spans="1:5" ht="15">
      <c r="A18" s="1957"/>
      <c r="B18" s="3007"/>
      <c r="C18" s="1961" t="s">
        <v>1619</v>
      </c>
      <c r="D18" s="1052">
        <f ca="1">结果表!H110</f>
        <v>50427</v>
      </c>
      <c r="E18" s="1957"/>
    </row>
    <row r="19" spans="1:5" ht="15.75">
      <c r="A19" s="1957"/>
      <c r="B19" s="2998" t="str">
        <f>结果表!E111</f>
        <v>——</v>
      </c>
      <c r="C19" s="1965" t="s">
        <v>1617</v>
      </c>
      <c r="D19" s="1041" t="str">
        <f>结果表!H111</f>
        <v>——</v>
      </c>
      <c r="E19" s="1957"/>
    </row>
    <row r="20" spans="1:5" ht="15.75">
      <c r="A20" s="1957"/>
      <c r="B20" s="2999"/>
      <c r="C20" s="1960" t="s">
        <v>1630</v>
      </c>
      <c r="D20" s="1040" t="e">
        <f>NUMBERSTRING(INT(D19*10000),2)&amp;"元整"</f>
        <v>#VALUE!</v>
      </c>
      <c r="E20" s="1957"/>
    </row>
    <row r="21" spans="1:5" ht="15.75" thickBot="1">
      <c r="A21" s="1957"/>
      <c r="B21" s="3000"/>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02" t="s">
        <v>2995</v>
      </c>
      <c r="B2" s="2903" t="e">
        <f ca="1">SUMIF(B6:B13,"&lt;&gt;#ref!",B6:B13)</f>
        <v>#DIV/0!</v>
      </c>
      <c r="C2" s="2902" t="s">
        <v>2996</v>
      </c>
      <c r="D2" s="2902" t="s">
        <v>2997</v>
      </c>
      <c r="E2" s="2903">
        <f ca="1">SUMIF(E6:E13,"&lt;&gt;#ref!",E6:E13)</f>
        <v>0</v>
      </c>
    </row>
    <row r="3" spans="1:5" ht="15.75">
      <c r="A3" s="2902" t="s">
        <v>2998</v>
      </c>
      <c r="B3" s="2903" t="e">
        <f ca="1">ROUND(B2*10000/E2,0)</f>
        <v>#DIV/0!</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t="e">
        <f ca="1">SUMIF(INDIRECT("'"&amp;A6&amp;"'"&amp;"!A:A"),"总价",INDIRECT("'"&amp;A6&amp;"'"&amp;"!B:B"))</f>
        <v>#DIV/0!</v>
      </c>
      <c r="C6" s="2902" t="s">
        <v>2996</v>
      </c>
      <c r="D6" s="2904"/>
      <c r="E6" s="2576">
        <f ca="1">SUMIF(INDIRECT("'"&amp;A6&amp;"'"&amp;"!C:C"),"建筑面积",INDIRECT("'"&amp;A6&amp;"'"&amp;"!D:D"))</f>
        <v>0</v>
      </c>
    </row>
    <row r="7" spans="1:5" ht="15.75">
      <c r="A7" s="2907"/>
      <c r="B7" s="2903" t="e">
        <f ca="1">SUMIF(INDIRECT("'"&amp;A7&amp;"'"&amp;"!A:A"),"总价",INDIRECT("'"&amp;A7&amp;"'"&amp;"!B:B"))</f>
        <v>#REF!</v>
      </c>
      <c r="C7" s="2902" t="s">
        <v>2996</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6" t="e">
        <f t="shared" ca="1" si="0"/>
        <v>#REF!</v>
      </c>
    </row>
    <row r="9" spans="1:5" ht="15.75">
      <c r="A9" s="2907"/>
      <c r="B9" s="2903" t="e">
        <f t="shared" ca="1" si="1"/>
        <v>#REF!</v>
      </c>
      <c r="C9" s="2902" t="s">
        <v>2996</v>
      </c>
      <c r="D9" s="2904"/>
      <c r="E9" s="2576" t="e">
        <f t="shared" ca="1" si="0"/>
        <v>#REF!</v>
      </c>
    </row>
    <row r="10" spans="1:5" ht="15.75">
      <c r="A10" s="2907"/>
      <c r="B10" s="2903" t="e">
        <f t="shared" ca="1" si="1"/>
        <v>#REF!</v>
      </c>
      <c r="C10" s="2902" t="s">
        <v>2996</v>
      </c>
      <c r="D10" s="2904"/>
      <c r="E10" s="2576" t="e">
        <f t="shared" ca="1" si="0"/>
        <v>#REF!</v>
      </c>
    </row>
    <row r="11" spans="1:5" ht="15.75">
      <c r="A11" s="2907"/>
      <c r="B11" s="2903" t="e">
        <f t="shared" ca="1" si="1"/>
        <v>#REF!</v>
      </c>
      <c r="C11" s="2902" t="s">
        <v>2996</v>
      </c>
      <c r="D11" s="2904"/>
      <c r="E11" s="2576" t="e">
        <f t="shared" ca="1" si="0"/>
        <v>#REF!</v>
      </c>
    </row>
    <row r="12" spans="1:5" ht="15.75">
      <c r="A12" s="2907"/>
      <c r="B12" s="2903" t="e">
        <f t="shared" ca="1" si="1"/>
        <v>#REF!</v>
      </c>
      <c r="C12" s="2902" t="s">
        <v>2996</v>
      </c>
      <c r="D12" s="2904"/>
      <c r="E12" s="2576" t="e">
        <f t="shared" ca="1" si="0"/>
        <v>#REF!</v>
      </c>
    </row>
    <row r="13" spans="1:5" ht="15.75">
      <c r="A13" s="2907"/>
      <c r="B13" s="2903" t="e">
        <f t="shared" ca="1" si="1"/>
        <v>#REF!</v>
      </c>
      <c r="C13" s="2902" t="s">
        <v>2996</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0" t="s">
        <v>1145</v>
      </c>
      <c r="C1" s="3330"/>
      <c r="D1" s="3330"/>
      <c r="E1" s="3330"/>
      <c r="F1" s="3330"/>
      <c r="G1" s="3326" t="s">
        <v>1146</v>
      </c>
      <c r="H1" s="3326"/>
      <c r="I1" s="3326"/>
      <c r="J1" s="3326"/>
      <c r="K1" s="3326"/>
      <c r="L1" s="3326"/>
      <c r="N1" s="3326" t="s">
        <v>1147</v>
      </c>
      <c r="O1" s="3326"/>
      <c r="P1" s="3326"/>
      <c r="Q1" s="3326"/>
      <c r="R1" s="1445"/>
      <c r="S1" s="3326" t="s">
        <v>1148</v>
      </c>
      <c r="T1" s="3326"/>
      <c r="U1" s="3326"/>
      <c r="V1" s="3326"/>
      <c r="X1" s="3325" t="s">
        <v>1149</v>
      </c>
      <c r="Y1" s="3326"/>
      <c r="Z1" s="3326"/>
      <c r="AA1" s="3326"/>
      <c r="AB1" s="3326"/>
      <c r="AD1" s="3325" t="s">
        <v>1150</v>
      </c>
      <c r="AE1" s="3326"/>
      <c r="AF1" s="3326"/>
      <c r="AG1" s="3326"/>
      <c r="AH1" s="3326"/>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28">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28"/>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28"/>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5"/>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3032</v>
      </c>
      <c r="B15" s="1468">
        <v>439</v>
      </c>
      <c r="C15" s="1468">
        <v>327</v>
      </c>
      <c r="D15" s="1468">
        <f>C15</f>
        <v>327</v>
      </c>
      <c r="E15" s="1468">
        <v>627</v>
      </c>
      <c r="F15" s="1469">
        <v>283</v>
      </c>
      <c r="G15" s="3331">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28"/>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28"/>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5"/>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1">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28"/>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28"/>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29"/>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27">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28"/>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28"/>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29"/>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27">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28"/>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28"/>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29"/>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2">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3"/>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3"/>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4"/>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27">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28"/>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28"/>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29"/>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27">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28">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28">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29">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27">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28">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28">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29">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27">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28">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28">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29">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27">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28">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28">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29">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27">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28">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28">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29">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27">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28">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28">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29">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27">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28">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28">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29">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27">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28">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28">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29">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27">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28">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28">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29">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27">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28">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28">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29">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37" activePane="bottomLeft" state="frozen"/>
      <selection activeCell="C50" sqref="C50"/>
      <selection pane="bottomLeft" activeCell="I5" sqref="I5"/>
    </sheetView>
  </sheetViews>
  <sheetFormatPr defaultColWidth="9"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20" width="9" style="795"/>
    <col min="21" max="21" width="12.125" style="795" bestFit="1" customWidth="1"/>
    <col min="22" max="45" width="9" style="795"/>
    <col min="46" max="16384" width="9" style="139"/>
  </cols>
  <sheetData>
    <row r="1" spans="1:45" ht="14.25" customHeight="1" thickBot="1">
      <c r="A1" s="155"/>
      <c r="B1" s="1204" t="s">
        <v>3005</v>
      </c>
      <c r="C1" s="3337" t="s">
        <v>3006</v>
      </c>
      <c r="D1" s="3338"/>
      <c r="E1" s="3338"/>
      <c r="F1" s="3338"/>
      <c r="G1" s="3338"/>
      <c r="H1" s="3338"/>
      <c r="I1" s="3338"/>
      <c r="J1" s="3338"/>
      <c r="K1" s="3338"/>
      <c r="L1" s="3338"/>
      <c r="M1" s="3338"/>
      <c r="N1" s="3338"/>
      <c r="O1" s="3338"/>
      <c r="P1" s="3338"/>
      <c r="Q1" s="3338"/>
      <c r="R1" s="3338"/>
      <c r="S1" s="3339"/>
      <c r="T1" s="1204" t="s">
        <v>3007</v>
      </c>
    </row>
    <row r="2" spans="1:45" s="707" customFormat="1" ht="38.25">
      <c r="A2" s="1205"/>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v>1800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v>90</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2992" t="s">
        <v>3178</v>
      </c>
      <c r="D17" s="2993" t="s">
        <v>3179</v>
      </c>
      <c r="E17" s="2993" t="s">
        <v>3180</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3017</v>
      </c>
      <c r="E19" s="1791"/>
      <c r="F19" s="1791"/>
      <c r="G19" s="1791"/>
      <c r="H19" s="1279"/>
      <c r="I19" s="168"/>
      <c r="J19" s="168"/>
      <c r="K19" s="168"/>
      <c r="L19" s="168"/>
      <c r="M19" s="168"/>
      <c r="N19" s="168"/>
      <c r="O19" s="168"/>
      <c r="P19" s="168"/>
      <c r="Q19" s="168"/>
      <c r="R19" s="788"/>
      <c r="S19" s="138"/>
    </row>
    <row r="20" spans="1:45" ht="16.5" thickBot="1">
      <c r="A20" s="715" t="s">
        <v>3018</v>
      </c>
      <c r="B20" s="338">
        <f ca="1">IF(D20="——",S22,S22-F20)</f>
        <v>38829</v>
      </c>
      <c r="C20" s="168"/>
      <c r="D20" s="2911" t="s">
        <v>70</v>
      </c>
      <c r="E20" s="1792"/>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75">
      <c r="A21" s="715" t="s">
        <v>3020</v>
      </c>
      <c r="B21" s="338">
        <f ca="1">R22</f>
        <v>50427</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7700.0099999999984</v>
      </c>
      <c r="C22" s="3119" t="s">
        <v>33</v>
      </c>
      <c r="D22" s="3120"/>
      <c r="E22" s="3120"/>
      <c r="F22" s="3120"/>
      <c r="G22" s="3120"/>
      <c r="H22" s="3120"/>
      <c r="I22" s="3120"/>
      <c r="J22" s="3120"/>
      <c r="K22" s="3120"/>
      <c r="L22" s="3120"/>
      <c r="M22" s="3120"/>
      <c r="N22" s="3120"/>
      <c r="O22" s="3120"/>
      <c r="P22" s="3120"/>
      <c r="Q22" s="3336"/>
      <c r="R22" s="716">
        <f ca="1">ROUND(S22*10000/B22,0)</f>
        <v>50427</v>
      </c>
      <c r="S22" s="24">
        <f ca="1">SUM(S24:S10000)</f>
        <v>38829</v>
      </c>
      <c r="U22" s="795">
        <f ca="1">S22-25000</f>
        <v>13829</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f ca="1">U22/B22*10000</f>
        <v>17959.716935432556</v>
      </c>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Sheet1!B94</f>
        <v>3-1601</v>
      </c>
      <c r="B24" s="718">
        <f>Sheet1!C94</f>
        <v>683.76</v>
      </c>
      <c r="C24" s="719">
        <v>1</v>
      </c>
      <c r="D24" s="720"/>
      <c r="E24" s="719">
        <v>1</v>
      </c>
      <c r="F24" s="720"/>
      <c r="G24" s="719">
        <v>1</v>
      </c>
      <c r="H24" s="720"/>
      <c r="I24" s="719">
        <v>1</v>
      </c>
      <c r="J24" s="720"/>
      <c r="K24" s="719">
        <v>1</v>
      </c>
      <c r="L24" s="720"/>
      <c r="M24" s="719">
        <v>1</v>
      </c>
      <c r="N24" s="720"/>
      <c r="O24" s="719">
        <v>1</v>
      </c>
      <c r="P24" s="2994" t="s">
        <v>3283</v>
      </c>
      <c r="Q24" s="719">
        <v>1</v>
      </c>
      <c r="R24" s="721">
        <f ca="1">'结果表-基准'!G20</f>
        <v>50761</v>
      </c>
      <c r="S24" s="719">
        <f t="shared" ref="S24:S54" ca="1" si="11">ROUND(R24*B24/10000,0)</f>
        <v>3471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Sheet1!B86</f>
        <v>3-501</v>
      </c>
      <c r="B25" s="718">
        <f>Sheet1!C86</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3180</v>
      </c>
      <c r="Q25" s="24">
        <f>(SUMIF($17:$17,P25,$18:$18)-SUMIF($17:$17,$P$24,$18:$18)+100)/100</f>
        <v>0.95</v>
      </c>
      <c r="R25" s="716">
        <f ca="1">IF(B25="",0,ROUND($R$24*C25*E25*G25*I25*K25*M25*O25*Q25,0))</f>
        <v>48223</v>
      </c>
      <c r="S25" s="361">
        <f t="shared" ca="1" si="11"/>
        <v>3297</v>
      </c>
    </row>
    <row r="26" spans="1:45">
      <c r="A26" s="718" t="str">
        <f>Sheet1!B87</f>
        <v>3-502</v>
      </c>
      <c r="B26" s="718">
        <f>Sheet1!C87</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3180</v>
      </c>
      <c r="Q26" s="24">
        <f t="shared" ref="Q26:Q89" si="19">(SUMIF($17:$17,P26,$18:$18)-SUMIF($17:$17,$P$24,$18:$18)+100)/100</f>
        <v>0.95</v>
      </c>
      <c r="R26" s="716">
        <f t="shared" ref="R26:R89" ca="1" si="20">IF(B26="",0,ROUND($R$24*C26*E26*G26*I26*K26*M26*O26*Q26,0))</f>
        <v>48223</v>
      </c>
      <c r="S26" s="361">
        <f t="shared" ca="1" si="11"/>
        <v>913</v>
      </c>
      <c r="U26" s="795">
        <f ca="1">S22-S24</f>
        <v>35358</v>
      </c>
    </row>
    <row r="27" spans="1:45">
      <c r="A27" s="718" t="str">
        <f>Sheet1!B88</f>
        <v>3-503</v>
      </c>
      <c r="B27" s="718">
        <f>Sheet1!C88</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3180</v>
      </c>
      <c r="Q27" s="24">
        <f t="shared" si="19"/>
        <v>0.95</v>
      </c>
      <c r="R27" s="716">
        <f t="shared" ca="1" si="20"/>
        <v>48223</v>
      </c>
      <c r="S27" s="361">
        <f t="shared" ca="1" si="11"/>
        <v>913</v>
      </c>
      <c r="U27" s="795">
        <f>B22-B24</f>
        <v>7016.2499999999982</v>
      </c>
    </row>
    <row r="28" spans="1:45">
      <c r="A28" s="718" t="str">
        <f>Sheet1!B89</f>
        <v>3-505</v>
      </c>
      <c r="B28" s="718">
        <f>Sheet1!C89</f>
        <v>540.91999999999996</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3180</v>
      </c>
      <c r="Q28" s="24">
        <f t="shared" si="19"/>
        <v>0.95</v>
      </c>
      <c r="R28" s="716">
        <f t="shared" ca="1" si="20"/>
        <v>49187</v>
      </c>
      <c r="S28" s="361">
        <f t="shared" ca="1" si="11"/>
        <v>2661</v>
      </c>
      <c r="U28" s="795">
        <f ca="1">U26/U27*10000</f>
        <v>50394.441475146996</v>
      </c>
    </row>
    <row r="29" spans="1:45">
      <c r="A29" s="718" t="str">
        <f>Sheet1!B90</f>
        <v>3-506</v>
      </c>
      <c r="B29" s="718">
        <f>Sheet1!C90</f>
        <v>564.35</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3180</v>
      </c>
      <c r="Q29" s="24">
        <f t="shared" si="19"/>
        <v>0.95</v>
      </c>
      <c r="R29" s="716">
        <f t="shared" ca="1" si="20"/>
        <v>49187</v>
      </c>
      <c r="S29" s="361">
        <f t="shared" ca="1" si="11"/>
        <v>2776</v>
      </c>
    </row>
    <row r="30" spans="1:45">
      <c r="A30" s="718" t="str">
        <f>Sheet1!B91</f>
        <v>3-507</v>
      </c>
      <c r="B30" s="718">
        <f>Sheet1!C91</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3180</v>
      </c>
      <c r="Q30" s="24">
        <f t="shared" si="19"/>
        <v>0.95</v>
      </c>
      <c r="R30" s="716">
        <f t="shared" ca="1" si="20"/>
        <v>48223</v>
      </c>
      <c r="S30" s="361">
        <f t="shared" ca="1" si="11"/>
        <v>913</v>
      </c>
    </row>
    <row r="31" spans="1:45">
      <c r="A31" s="718" t="str">
        <f>Sheet1!B92</f>
        <v>3-508</v>
      </c>
      <c r="B31" s="718">
        <f>Sheet1!C92</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3180</v>
      </c>
      <c r="Q31" s="24">
        <f t="shared" si="19"/>
        <v>0.95</v>
      </c>
      <c r="R31" s="716">
        <f t="shared" ca="1" si="20"/>
        <v>49187</v>
      </c>
      <c r="S31" s="361">
        <f t="shared" ca="1" si="11"/>
        <v>2167</v>
      </c>
    </row>
    <row r="32" spans="1:45">
      <c r="A32" s="718" t="str">
        <f>Sheet1!B93</f>
        <v>3-509</v>
      </c>
      <c r="B32" s="718">
        <f>Sheet1!C93</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3245</v>
      </c>
      <c r="Q32" s="24">
        <f t="shared" si="19"/>
        <v>1</v>
      </c>
      <c r="R32" s="716">
        <f t="shared" ca="1" si="20"/>
        <v>51776</v>
      </c>
      <c r="S32" s="361">
        <f t="shared" ca="1" si="11"/>
        <v>2239</v>
      </c>
    </row>
    <row r="33" spans="1:19" hidden="1">
      <c r="A33" s="718"/>
      <c r="B33" s="71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3179</v>
      </c>
      <c r="Q33" s="24">
        <f t="shared" si="19"/>
        <v>1</v>
      </c>
      <c r="R33" s="716">
        <f t="shared" si="20"/>
        <v>0</v>
      </c>
      <c r="S33" s="361">
        <f t="shared" si="11"/>
        <v>0</v>
      </c>
    </row>
    <row r="34" spans="1:19">
      <c r="A34" s="718" t="str">
        <f>Sheet1!B95</f>
        <v>3-1602</v>
      </c>
      <c r="B34" s="718">
        <f>Sheet1!C95</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3245</v>
      </c>
      <c r="Q34" s="24">
        <f t="shared" si="19"/>
        <v>1</v>
      </c>
      <c r="R34" s="716">
        <f t="shared" ca="1" si="20"/>
        <v>50761</v>
      </c>
      <c r="S34" s="361">
        <f t="shared" ca="1" si="11"/>
        <v>961</v>
      </c>
    </row>
    <row r="35" spans="1:19">
      <c r="A35" s="718" t="str">
        <f>Sheet1!B96</f>
        <v>3-1603</v>
      </c>
      <c r="B35" s="718">
        <f>Sheet1!C96</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3179</v>
      </c>
      <c r="Q35" s="24">
        <f t="shared" si="19"/>
        <v>1</v>
      </c>
      <c r="R35" s="716">
        <f t="shared" ca="1" si="20"/>
        <v>50761</v>
      </c>
      <c r="S35" s="361">
        <f t="shared" ca="1" si="11"/>
        <v>961</v>
      </c>
    </row>
    <row r="36" spans="1:19">
      <c r="A36" s="718" t="str">
        <f>Sheet1!B97</f>
        <v>3-1605</v>
      </c>
      <c r="B36" s="718">
        <f>Sheet1!C97</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3245</v>
      </c>
      <c r="Q36" s="24">
        <f t="shared" si="19"/>
        <v>1</v>
      </c>
      <c r="R36" s="716">
        <f t="shared" ca="1" si="20"/>
        <v>51776</v>
      </c>
      <c r="S36" s="361">
        <f t="shared" ca="1" si="11"/>
        <v>2767</v>
      </c>
    </row>
    <row r="37" spans="1:19">
      <c r="A37" s="718" t="str">
        <f>Sheet1!B98</f>
        <v>3-1608</v>
      </c>
      <c r="B37" s="718">
        <f>Sheet1!C98</f>
        <v>440.53</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3179</v>
      </c>
      <c r="Q37" s="24">
        <f t="shared" si="19"/>
        <v>1</v>
      </c>
      <c r="R37" s="716">
        <f t="shared" ca="1" si="20"/>
        <v>51776</v>
      </c>
      <c r="S37" s="361">
        <f t="shared" ca="1" si="11"/>
        <v>2281</v>
      </c>
    </row>
    <row r="38" spans="1:19">
      <c r="A38" s="718" t="str">
        <f>Sheet1!B99</f>
        <v>3-1609</v>
      </c>
      <c r="B38" s="718">
        <f>Sheet1!C99</f>
        <v>432.37</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3245</v>
      </c>
      <c r="Q38" s="24">
        <f t="shared" si="19"/>
        <v>1</v>
      </c>
      <c r="R38" s="716">
        <f t="shared" ca="1" si="20"/>
        <v>51776</v>
      </c>
      <c r="S38" s="361">
        <f t="shared" ca="1" si="11"/>
        <v>2239</v>
      </c>
    </row>
    <row r="39" spans="1:19">
      <c r="A39" s="718" t="str">
        <f>Sheet1!B100</f>
        <v>2-1801</v>
      </c>
      <c r="B39" s="718">
        <f>Sheet1!C100</f>
        <v>240.41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3179</v>
      </c>
      <c r="Q39" s="24">
        <f t="shared" si="19"/>
        <v>1</v>
      </c>
      <c r="R39" s="716">
        <f t="shared" ca="1" si="20"/>
        <v>50761</v>
      </c>
      <c r="S39" s="361">
        <f t="shared" ca="1" si="11"/>
        <v>1220</v>
      </c>
    </row>
    <row r="40" spans="1:19">
      <c r="A40" s="718" t="str">
        <f>Sheet1!B101</f>
        <v>2-1802</v>
      </c>
      <c r="B40" s="718">
        <f>Sheet1!C101</f>
        <v>198.69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3245</v>
      </c>
      <c r="Q40" s="24">
        <f t="shared" si="19"/>
        <v>1</v>
      </c>
      <c r="R40" s="716">
        <f t="shared" ca="1" si="20"/>
        <v>50761</v>
      </c>
      <c r="S40" s="361">
        <f t="shared" ca="1" si="11"/>
        <v>1009</v>
      </c>
    </row>
    <row r="41" spans="1:19">
      <c r="A41" s="718" t="str">
        <f>Sheet1!B102</f>
        <v>2-1803</v>
      </c>
      <c r="B41" s="718">
        <f>Sheet1!C102</f>
        <v>557.80999999999995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3179</v>
      </c>
      <c r="Q41" s="24">
        <f t="shared" si="19"/>
        <v>1</v>
      </c>
      <c r="R41" s="716">
        <f t="shared" ca="1" si="20"/>
        <v>51776</v>
      </c>
      <c r="S41" s="361">
        <f t="shared" ca="1" si="11"/>
        <v>2888</v>
      </c>
    </row>
    <row r="42" spans="1:19">
      <c r="A42" s="718" t="str">
        <f>Sheet1!B103</f>
        <v>2-1805</v>
      </c>
      <c r="B42" s="718">
        <f>Sheet1!C103</f>
        <v>564.69000000000005</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3245</v>
      </c>
      <c r="Q42" s="24">
        <f t="shared" si="19"/>
        <v>1</v>
      </c>
      <c r="R42" s="716">
        <f t="shared" ca="1" si="20"/>
        <v>51776</v>
      </c>
      <c r="S42" s="361">
        <f t="shared" ca="1" si="11"/>
        <v>2924</v>
      </c>
    </row>
    <row r="43" spans="1:19">
      <c r="A43" s="718" t="str">
        <f>Sheet1!B104</f>
        <v>2-1806</v>
      </c>
      <c r="B43" s="718">
        <f>Sheet1!C104</f>
        <v>197.6</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3179</v>
      </c>
      <c r="Q43" s="24">
        <f t="shared" si="19"/>
        <v>1</v>
      </c>
      <c r="R43" s="716">
        <f t="shared" ca="1" si="20"/>
        <v>50761</v>
      </c>
      <c r="S43" s="361">
        <f t="shared" ca="1" si="11"/>
        <v>1003</v>
      </c>
    </row>
    <row r="44" spans="1:19">
      <c r="A44" s="718" t="str">
        <f>Sheet1!B105</f>
        <v>2-1807</v>
      </c>
      <c r="B44" s="718">
        <f>Sheet1!C105</f>
        <v>241.49</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3283</v>
      </c>
      <c r="Q44" s="24">
        <f t="shared" si="19"/>
        <v>1</v>
      </c>
      <c r="R44" s="716">
        <f t="shared" ca="1" si="20"/>
        <v>50761</v>
      </c>
      <c r="S44" s="361">
        <f t="shared" ca="1" si="11"/>
        <v>1226</v>
      </c>
    </row>
    <row r="45" spans="1:19">
      <c r="A45" s="718"/>
      <c r="B45" s="71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c r="Q45" s="24">
        <f t="shared" si="19"/>
        <v>0.05</v>
      </c>
      <c r="R45" s="716">
        <f t="shared" si="20"/>
        <v>0</v>
      </c>
      <c r="S45" s="361">
        <f t="shared" si="11"/>
        <v>0</v>
      </c>
    </row>
    <row r="46" spans="1:19">
      <c r="A46" s="718"/>
      <c r="B46" s="71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c r="Q46" s="24">
        <f t="shared" si="19"/>
        <v>0.05</v>
      </c>
      <c r="R46" s="716">
        <f t="shared" si="20"/>
        <v>0</v>
      </c>
      <c r="S46" s="361">
        <f t="shared" si="11"/>
        <v>0</v>
      </c>
    </row>
    <row r="47" spans="1:19">
      <c r="A47" s="718"/>
      <c r="B47" s="71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c r="Q47" s="24">
        <f t="shared" si="19"/>
        <v>0.05</v>
      </c>
      <c r="R47" s="716">
        <f t="shared" si="20"/>
        <v>0</v>
      </c>
      <c r="S47" s="361">
        <f t="shared" si="11"/>
        <v>0</v>
      </c>
    </row>
    <row r="48" spans="1:19">
      <c r="A48" s="718"/>
      <c r="B48" s="71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c r="Q48" s="24">
        <f t="shared" si="19"/>
        <v>0.05</v>
      </c>
      <c r="R48" s="716">
        <f t="shared" si="20"/>
        <v>0</v>
      </c>
      <c r="S48" s="361">
        <f t="shared" si="11"/>
        <v>0</v>
      </c>
    </row>
    <row r="49" spans="1:19">
      <c r="A49" s="718"/>
      <c r="B49" s="71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c r="Q49" s="24">
        <f t="shared" si="19"/>
        <v>0.05</v>
      </c>
      <c r="R49" s="716">
        <f t="shared" si="20"/>
        <v>0</v>
      </c>
      <c r="S49" s="361">
        <f t="shared" si="11"/>
        <v>0</v>
      </c>
    </row>
    <row r="50" spans="1:19">
      <c r="A50" s="718"/>
      <c r="B50" s="71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c r="Q50" s="24">
        <f t="shared" si="19"/>
        <v>0.05</v>
      </c>
      <c r="R50" s="716">
        <f t="shared" si="20"/>
        <v>0</v>
      </c>
      <c r="S50" s="361">
        <f t="shared" si="11"/>
        <v>0</v>
      </c>
    </row>
    <row r="51" spans="1:19">
      <c r="A51" s="718"/>
      <c r="B51" s="71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c r="Q51" s="24">
        <f t="shared" si="19"/>
        <v>0.05</v>
      </c>
      <c r="R51" s="716">
        <f t="shared" si="20"/>
        <v>0</v>
      </c>
      <c r="S51" s="361">
        <f t="shared" si="11"/>
        <v>0</v>
      </c>
    </row>
    <row r="52" spans="1:19">
      <c r="A52" s="718"/>
      <c r="B52" s="71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c r="Q52" s="24">
        <f t="shared" si="19"/>
        <v>0.05</v>
      </c>
      <c r="R52" s="716">
        <f t="shared" si="20"/>
        <v>0</v>
      </c>
      <c r="S52" s="361">
        <f t="shared" si="11"/>
        <v>0</v>
      </c>
    </row>
    <row r="53" spans="1:19">
      <c r="A53" s="718"/>
      <c r="B53" s="71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c r="Q53" s="24">
        <f t="shared" si="19"/>
        <v>0.05</v>
      </c>
      <c r="R53" s="716">
        <f t="shared" si="20"/>
        <v>0</v>
      </c>
      <c r="S53" s="361">
        <f t="shared" si="11"/>
        <v>0</v>
      </c>
    </row>
    <row r="54" spans="1:19">
      <c r="A54" s="718"/>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c r="Q54" s="24">
        <f t="shared" si="19"/>
        <v>0.05</v>
      </c>
      <c r="R54" s="716">
        <f t="shared" si="20"/>
        <v>0</v>
      </c>
      <c r="S54" s="361">
        <f t="shared" si="11"/>
        <v>0</v>
      </c>
    </row>
    <row r="55" spans="1:19">
      <c r="A55" s="718"/>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c r="Q55" s="24">
        <f t="shared" si="19"/>
        <v>0.05</v>
      </c>
      <c r="R55" s="716">
        <f t="shared" si="20"/>
        <v>0</v>
      </c>
      <c r="S55" s="361">
        <f t="shared" ref="S55:S77" si="21">ROUND(R55*B55/10000,0)</f>
        <v>0</v>
      </c>
    </row>
    <row r="56" spans="1:19">
      <c r="A56" s="718"/>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c r="Q56" s="24">
        <f t="shared" si="19"/>
        <v>0.05</v>
      </c>
      <c r="R56" s="716">
        <f t="shared" si="20"/>
        <v>0</v>
      </c>
      <c r="S56" s="361">
        <f t="shared" si="21"/>
        <v>0</v>
      </c>
    </row>
    <row r="57" spans="1:19">
      <c r="A57" s="718"/>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c r="Q57" s="24">
        <f t="shared" si="19"/>
        <v>0.05</v>
      </c>
      <c r="R57" s="716">
        <f t="shared" si="20"/>
        <v>0</v>
      </c>
      <c r="S57" s="361">
        <f t="shared" si="21"/>
        <v>0</v>
      </c>
    </row>
    <row r="58" spans="1:19">
      <c r="A58" s="718"/>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c r="Q58" s="24">
        <f t="shared" si="19"/>
        <v>0.05</v>
      </c>
      <c r="R58" s="716">
        <f t="shared" si="20"/>
        <v>0</v>
      </c>
      <c r="S58" s="361">
        <f t="shared" si="21"/>
        <v>0</v>
      </c>
    </row>
    <row r="59" spans="1:19">
      <c r="A59" s="718"/>
      <c r="B59" s="71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c r="Q59" s="24">
        <f t="shared" si="19"/>
        <v>0.05</v>
      </c>
      <c r="R59" s="716">
        <f t="shared" si="20"/>
        <v>0</v>
      </c>
      <c r="S59" s="361">
        <f t="shared" si="21"/>
        <v>0</v>
      </c>
    </row>
    <row r="60" spans="1:19">
      <c r="A60" s="718"/>
      <c r="B60" s="71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c r="Q60" s="24">
        <f t="shared" si="19"/>
        <v>0.05</v>
      </c>
      <c r="R60" s="716">
        <f t="shared" si="20"/>
        <v>0</v>
      </c>
      <c r="S60" s="361">
        <f t="shared" si="21"/>
        <v>0</v>
      </c>
    </row>
    <row r="61" spans="1:19">
      <c r="A61" s="718"/>
      <c r="B61" s="71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c r="Q61" s="24">
        <f t="shared" si="19"/>
        <v>0.05</v>
      </c>
      <c r="R61" s="716">
        <f t="shared" si="20"/>
        <v>0</v>
      </c>
      <c r="S61" s="361">
        <f t="shared" si="21"/>
        <v>0</v>
      </c>
    </row>
    <row r="62" spans="1:19">
      <c r="A62" s="718"/>
      <c r="B62" s="71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c r="Q62" s="24">
        <f t="shared" si="19"/>
        <v>0.05</v>
      </c>
      <c r="R62" s="716">
        <f t="shared" si="20"/>
        <v>0</v>
      </c>
      <c r="S62" s="361">
        <f t="shared" si="21"/>
        <v>0</v>
      </c>
    </row>
    <row r="63" spans="1:19">
      <c r="A63" s="718"/>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c r="Q63" s="24">
        <f t="shared" si="19"/>
        <v>0.05</v>
      </c>
      <c r="R63" s="716">
        <f t="shared" si="20"/>
        <v>0</v>
      </c>
      <c r="S63" s="361">
        <f t="shared" si="21"/>
        <v>0</v>
      </c>
    </row>
    <row r="64" spans="1:19">
      <c r="A64" s="718"/>
      <c r="B64" s="71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c r="Q64" s="24">
        <f t="shared" si="19"/>
        <v>0.05</v>
      </c>
      <c r="R64" s="716">
        <f t="shared" si="20"/>
        <v>0</v>
      </c>
      <c r="S64" s="361">
        <f t="shared" si="21"/>
        <v>0</v>
      </c>
    </row>
    <row r="65" spans="1:19">
      <c r="A65" s="718"/>
      <c r="B65" s="71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c r="Q65" s="24">
        <f t="shared" si="19"/>
        <v>0.05</v>
      </c>
      <c r="R65" s="716">
        <f t="shared" si="20"/>
        <v>0</v>
      </c>
      <c r="S65" s="361">
        <f t="shared" si="21"/>
        <v>0</v>
      </c>
    </row>
    <row r="66" spans="1:19">
      <c r="A66" s="718"/>
      <c r="B66" s="71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c r="Q66" s="24">
        <f t="shared" si="19"/>
        <v>0.05</v>
      </c>
      <c r="R66" s="716">
        <f t="shared" si="20"/>
        <v>0</v>
      </c>
      <c r="S66" s="361">
        <f t="shared" si="21"/>
        <v>0</v>
      </c>
    </row>
    <row r="67" spans="1:19">
      <c r="A67" s="718"/>
      <c r="B67" s="71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c r="Q67" s="24">
        <f t="shared" si="19"/>
        <v>0.05</v>
      </c>
      <c r="R67" s="716">
        <f t="shared" si="20"/>
        <v>0</v>
      </c>
      <c r="S67" s="361">
        <f t="shared" si="21"/>
        <v>0</v>
      </c>
    </row>
    <row r="68" spans="1:19">
      <c r="A68" s="718"/>
      <c r="B68" s="71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c r="Q68" s="24">
        <f t="shared" si="19"/>
        <v>0.05</v>
      </c>
      <c r="R68" s="716">
        <f t="shared" si="20"/>
        <v>0</v>
      </c>
      <c r="S68" s="361">
        <f t="shared" si="21"/>
        <v>0</v>
      </c>
    </row>
    <row r="69" spans="1:19">
      <c r="A69" s="718"/>
      <c r="B69" s="71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c r="Q69" s="24">
        <f t="shared" si="19"/>
        <v>0.05</v>
      </c>
      <c r="R69" s="716">
        <f t="shared" si="20"/>
        <v>0</v>
      </c>
      <c r="S69" s="361">
        <f t="shared" si="21"/>
        <v>0</v>
      </c>
    </row>
    <row r="70" spans="1:19">
      <c r="A70" s="718"/>
      <c r="B70" s="71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c r="Q70" s="24">
        <f t="shared" si="19"/>
        <v>0.05</v>
      </c>
      <c r="R70" s="716">
        <f t="shared" si="20"/>
        <v>0</v>
      </c>
      <c r="S70" s="361">
        <f t="shared" si="21"/>
        <v>0</v>
      </c>
    </row>
    <row r="71" spans="1:19">
      <c r="A71" s="718"/>
      <c r="B71" s="71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c r="Q71" s="24">
        <f t="shared" si="19"/>
        <v>0.05</v>
      </c>
      <c r="R71" s="716">
        <f t="shared" si="20"/>
        <v>0</v>
      </c>
      <c r="S71" s="361">
        <f t="shared" si="21"/>
        <v>0</v>
      </c>
    </row>
    <row r="72" spans="1:19">
      <c r="A72" s="718"/>
      <c r="B72" s="71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c r="Q72" s="24">
        <f t="shared" si="19"/>
        <v>0.05</v>
      </c>
      <c r="R72" s="716">
        <f t="shared" si="20"/>
        <v>0</v>
      </c>
      <c r="S72" s="361">
        <f t="shared" si="21"/>
        <v>0</v>
      </c>
    </row>
    <row r="73" spans="1:19">
      <c r="A73" s="718"/>
      <c r="B73" s="71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c r="Q73" s="24">
        <f t="shared" si="19"/>
        <v>0.05</v>
      </c>
      <c r="R73" s="716">
        <f t="shared" si="20"/>
        <v>0</v>
      </c>
      <c r="S73" s="361">
        <f t="shared" si="21"/>
        <v>0</v>
      </c>
    </row>
    <row r="74" spans="1:19">
      <c r="A74" s="718"/>
      <c r="B74" s="71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c r="Q74" s="24">
        <f t="shared" si="19"/>
        <v>0.05</v>
      </c>
      <c r="R74" s="716">
        <f t="shared" si="20"/>
        <v>0</v>
      </c>
      <c r="S74" s="361">
        <f t="shared" si="21"/>
        <v>0</v>
      </c>
    </row>
    <row r="75" spans="1:19">
      <c r="A75" s="718"/>
      <c r="B75" s="71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c r="Q75" s="24">
        <f t="shared" si="19"/>
        <v>0.05</v>
      </c>
      <c r="R75" s="716">
        <f t="shared" si="20"/>
        <v>0</v>
      </c>
      <c r="S75" s="361">
        <f t="shared" si="21"/>
        <v>0</v>
      </c>
    </row>
    <row r="76" spans="1:19">
      <c r="A76" s="718"/>
      <c r="B76" s="71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c r="Q76" s="24">
        <f t="shared" si="19"/>
        <v>0.05</v>
      </c>
      <c r="R76" s="716">
        <f t="shared" si="20"/>
        <v>0</v>
      </c>
      <c r="S76" s="361">
        <f t="shared" si="21"/>
        <v>0</v>
      </c>
    </row>
    <row r="77" spans="1:19">
      <c r="A77" s="718"/>
      <c r="B77" s="71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c r="Q77" s="24">
        <f t="shared" si="19"/>
        <v>0.05</v>
      </c>
      <c r="R77" s="716">
        <f t="shared" si="20"/>
        <v>0</v>
      </c>
      <c r="S77" s="361">
        <f t="shared" si="21"/>
        <v>0</v>
      </c>
    </row>
    <row r="78" spans="1:19">
      <c r="A78" s="718"/>
      <c r="B78" s="71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c r="Q78" s="24">
        <f t="shared" si="19"/>
        <v>0.05</v>
      </c>
      <c r="R78" s="716">
        <f t="shared" si="20"/>
        <v>0</v>
      </c>
      <c r="S78" s="361">
        <f t="shared" ref="S78:S122" si="22">ROUND(R78*B78/10000,0)</f>
        <v>0</v>
      </c>
    </row>
    <row r="79" spans="1:19">
      <c r="A79" s="718"/>
      <c r="B79" s="71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c r="Q79" s="24">
        <f t="shared" si="19"/>
        <v>0.05</v>
      </c>
      <c r="R79" s="716">
        <f t="shared" si="20"/>
        <v>0</v>
      </c>
      <c r="S79" s="361">
        <f t="shared" si="22"/>
        <v>0</v>
      </c>
    </row>
    <row r="80" spans="1:19">
      <c r="A80" s="718"/>
      <c r="B80" s="71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c r="Q80" s="24">
        <f t="shared" si="19"/>
        <v>0.05</v>
      </c>
      <c r="R80" s="716">
        <f t="shared" si="20"/>
        <v>0</v>
      </c>
      <c r="S80" s="361">
        <f t="shared" si="22"/>
        <v>0</v>
      </c>
    </row>
    <row r="81" spans="1:19">
      <c r="A81" s="718"/>
      <c r="B81" s="71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c r="Q81" s="24">
        <f t="shared" si="19"/>
        <v>0.05</v>
      </c>
      <c r="R81" s="716">
        <f t="shared" si="20"/>
        <v>0</v>
      </c>
      <c r="S81" s="361">
        <f t="shared" si="22"/>
        <v>0</v>
      </c>
    </row>
    <row r="82" spans="1:19">
      <c r="A82" s="718"/>
      <c r="B82" s="71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c r="Q82" s="24">
        <f t="shared" si="19"/>
        <v>0.05</v>
      </c>
      <c r="R82" s="716">
        <f t="shared" si="20"/>
        <v>0</v>
      </c>
      <c r="S82" s="361">
        <f t="shared" si="22"/>
        <v>0</v>
      </c>
    </row>
    <row r="83" spans="1:19">
      <c r="A83" s="718"/>
      <c r="B83" s="71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c r="Q83" s="24">
        <f t="shared" si="19"/>
        <v>0.05</v>
      </c>
      <c r="R83" s="716">
        <f t="shared" si="20"/>
        <v>0</v>
      </c>
      <c r="S83" s="361">
        <f t="shared" si="22"/>
        <v>0</v>
      </c>
    </row>
    <row r="84" spans="1:19">
      <c r="A84" s="718"/>
      <c r="B84" s="71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c r="Q84" s="24">
        <f t="shared" si="19"/>
        <v>0.05</v>
      </c>
      <c r="R84" s="716">
        <f t="shared" si="20"/>
        <v>0</v>
      </c>
      <c r="S84" s="361">
        <f t="shared" si="22"/>
        <v>0</v>
      </c>
    </row>
    <row r="85" spans="1:19">
      <c r="A85" s="718"/>
      <c r="B85" s="71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c r="Q85" s="24">
        <f t="shared" si="19"/>
        <v>0.05</v>
      </c>
      <c r="R85" s="716">
        <f t="shared" si="20"/>
        <v>0</v>
      </c>
      <c r="S85" s="361">
        <f t="shared" si="22"/>
        <v>0</v>
      </c>
    </row>
    <row r="86" spans="1:19">
      <c r="A86" s="718"/>
      <c r="B86" s="71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c r="Q86" s="24">
        <f t="shared" si="19"/>
        <v>0.05</v>
      </c>
      <c r="R86" s="716">
        <f t="shared" si="20"/>
        <v>0</v>
      </c>
      <c r="S86" s="361">
        <f t="shared" si="22"/>
        <v>0</v>
      </c>
    </row>
    <row r="87" spans="1:19">
      <c r="A87" s="718"/>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31431</v>
      </c>
      <c r="C2" s="2" t="s">
        <v>133</v>
      </c>
      <c r="D2" s="243"/>
      <c r="E2" s="243"/>
      <c r="F2" s="243"/>
      <c r="G2" s="243"/>
    </row>
    <row r="3" spans="1:7" s="244" customFormat="1" ht="18" customHeight="1" thickBot="1">
      <c r="A3" s="247" t="s">
        <v>85</v>
      </c>
      <c r="B3" s="248">
        <f ca="1">ROUND(B2*10000/'数据-汇总表'!E3,0)</f>
        <v>40819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154</v>
      </c>
      <c r="D10" s="1032">
        <f>'数据-汇总表'!E6</f>
        <v>7700.0099999999984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154</v>
      </c>
      <c r="D19" s="1036">
        <f>'数据-汇总表'!E3</f>
        <v>7700.0099999999984</v>
      </c>
      <c r="E19" s="255">
        <f>'数据-取费表'!B31</f>
        <v>200</v>
      </c>
      <c r="F19" s="275"/>
      <c r="G19" s="1" t="s">
        <v>1070</v>
      </c>
    </row>
    <row r="20" spans="1:7" s="258" customFormat="1" ht="13.5" customHeight="1">
      <c r="A20" s="948" t="s">
        <v>1053</v>
      </c>
      <c r="B20" s="254" t="s">
        <v>104</v>
      </c>
      <c r="C20" s="276">
        <f>ROUND((C5+C19)*F20,0)</f>
        <v>415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3132</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23</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4236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30987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404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239</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154</v>
      </c>
      <c r="D37" s="261">
        <f>'数据-汇总表'!E3</f>
        <v>7700.0099999999984</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30</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29</v>
      </c>
      <c r="D42" s="282"/>
      <c r="E42" s="282"/>
      <c r="F42" s="283"/>
      <c r="G42" s="3199" t="s">
        <v>121</v>
      </c>
    </row>
    <row r="43" spans="1:7" ht="13.5" customHeight="1">
      <c r="A43" s="951" t="s">
        <v>792</v>
      </c>
      <c r="B43" s="259" t="s">
        <v>1060</v>
      </c>
      <c r="C43" s="282">
        <f ca="1">ROUND(IF('数据-取费表'!B22&lt;=1,C39*F22*'数据-取费表'!B21/2,C39*(POWER((1+F22),'数据-取费表'!B21/2)-1)),0)</f>
        <v>1</v>
      </c>
      <c r="D43" s="282"/>
      <c r="E43" s="282"/>
      <c r="F43" s="283"/>
      <c r="G43" s="3200"/>
    </row>
    <row r="44" spans="1:7" ht="13.5" customHeight="1">
      <c r="A44" s="951" t="s">
        <v>793</v>
      </c>
      <c r="B44" s="259" t="s">
        <v>1062</v>
      </c>
      <c r="C44" s="282">
        <f ca="1">ROUND(IF('数据-取费表'!B22&lt;=1,C40*F22*'数据-取费表'!B21/2,C40*(POWER((1+F22),'数据-取费表'!B21/2)-1)),4)</f>
        <v>1.4E-3</v>
      </c>
      <c r="D44" s="282"/>
      <c r="E44" s="282"/>
      <c r="F44" s="283"/>
      <c r="G44" s="3201"/>
    </row>
    <row r="45" spans="1:7" s="258" customFormat="1" ht="13.5" customHeight="1">
      <c r="A45" s="948" t="s">
        <v>786</v>
      </c>
      <c r="B45" s="288" t="s">
        <v>112</v>
      </c>
      <c r="C45" s="289">
        <f>C46</f>
        <v>82</v>
      </c>
      <c r="D45" s="279">
        <f>C47</f>
        <v>4.0000000000000001E-3</v>
      </c>
      <c r="E45" s="280" t="s">
        <v>129</v>
      </c>
      <c r="F45" s="290"/>
      <c r="G45" s="291" t="s">
        <v>1068</v>
      </c>
    </row>
    <row r="46" spans="1:7" s="258" customFormat="1" ht="13.5" customHeight="1">
      <c r="A46" s="951" t="s">
        <v>794</v>
      </c>
      <c r="B46" s="292" t="s">
        <v>1061</v>
      </c>
      <c r="C46" s="293">
        <f>ROUND((C33+C39)*F27,0)</f>
        <v>82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569</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444</v>
      </c>
      <c r="D51" s="276"/>
      <c r="E51" s="276"/>
      <c r="F51" s="308"/>
      <c r="G51" s="278" t="s">
        <v>64</v>
      </c>
    </row>
    <row r="52" spans="1:7" s="252" customFormat="1" ht="16.5" thickBot="1">
      <c r="A52" s="309" t="s">
        <v>65</v>
      </c>
      <c r="B52" s="310"/>
      <c r="C52" s="311">
        <f ca="1">C31+C51</f>
        <v>31431</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0" t="s">
        <v>156</v>
      </c>
      <c r="B1" s="3340"/>
      <c r="C1" s="3340"/>
      <c r="D1" s="3340"/>
      <c r="E1" s="3340"/>
      <c r="F1" s="334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1" t="s">
        <v>169</v>
      </c>
      <c r="B2" s="3341"/>
      <c r="C2" s="3341"/>
      <c r="D2" s="3341"/>
      <c r="E2" s="3341"/>
      <c r="F2" s="334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0" t="s">
        <v>867</v>
      </c>
      <c r="B1" s="334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43973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13" sqref="A13"/>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1635</v>
      </c>
      <c r="B2" s="3009" t="s">
        <v>1636</v>
      </c>
      <c r="C2" s="3009" t="s">
        <v>1637</v>
      </c>
      <c r="D2" s="3009" t="str">
        <f>结果表!D116</f>
        <v>出让国有建设用地使用权价值</v>
      </c>
      <c r="E2" s="3009"/>
      <c r="F2" s="3009" t="str">
        <f>结果表!F116</f>
        <v>建筑物价值</v>
      </c>
      <c r="G2" s="3009"/>
      <c r="H2" s="3009" t="str">
        <f>IF(项目基本情况!B9="房地产市场价值","房地产市场价值","房地产价值")</f>
        <v>房地产价值</v>
      </c>
      <c r="I2" s="3009"/>
    </row>
    <row r="3" spans="1:9" ht="15">
      <c r="A3" s="3010"/>
      <c r="B3" s="3010"/>
      <c r="C3" s="3010"/>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7700.0099999999984</v>
      </c>
      <c r="C4" s="1044">
        <f>项目基本情况!C18</f>
        <v>373.16</v>
      </c>
      <c r="D4" s="1044">
        <f ca="1">结果表!D118</f>
        <v>33943</v>
      </c>
      <c r="E4" s="1044">
        <f ca="1">结果表!E118</f>
        <v>44082</v>
      </c>
      <c r="F4" s="1044">
        <f ca="1">结果表!F118</f>
        <v>4886</v>
      </c>
      <c r="G4" s="1044">
        <f ca="1">结果表!G118</f>
        <v>6345</v>
      </c>
      <c r="H4" s="1044">
        <f ca="1">结果表!H118</f>
        <v>38829</v>
      </c>
      <c r="I4" s="1044">
        <f ca="1">结果表!I118</f>
        <v>50427</v>
      </c>
    </row>
    <row r="5" spans="1:9" ht="30" customHeight="1">
      <c r="A5" s="3010" t="s">
        <v>1634</v>
      </c>
      <c r="B5" s="3010"/>
      <c r="C5" s="3010"/>
      <c r="D5" s="3011" t="str">
        <f ca="1">结果表!D119</f>
        <v>叁亿叁仟玖佰肆拾叁万元整</v>
      </c>
      <c r="E5" s="3011"/>
      <c r="F5" s="3011" t="str">
        <f ca="1">结果表!F119</f>
        <v>肆仟捌佰捌拾陆万元整</v>
      </c>
      <c r="G5" s="3011"/>
      <c r="H5" s="3011" t="str">
        <f ca="1">结果表!H119</f>
        <v>叁亿捌仟捌佰贰拾玖万元整</v>
      </c>
      <c r="I5" s="3011"/>
    </row>
    <row r="6" spans="1:9" ht="15.75">
      <c r="A6" s="3012" t="str">
        <f>结果表!A120</f>
        <v>估价师知悉的法定优先受偿款</v>
      </c>
      <c r="B6" s="3012"/>
      <c r="C6" s="3012"/>
      <c r="D6" s="3012">
        <f>结果表!D120</f>
        <v>25000</v>
      </c>
      <c r="E6" s="3012"/>
      <c r="F6" s="3012"/>
      <c r="G6" s="3012"/>
      <c r="H6" s="3012"/>
      <c r="I6" s="3012"/>
    </row>
    <row r="7" spans="1:9" ht="15">
      <c r="A7" s="3010" t="s">
        <v>1634</v>
      </c>
      <c r="B7" s="3010"/>
      <c r="C7" s="3010"/>
      <c r="D7" s="3013" t="str">
        <f>结果表!D121</f>
        <v>贰亿伍仟万元整</v>
      </c>
      <c r="E7" s="3014"/>
      <c r="F7" s="3014"/>
      <c r="G7" s="3014"/>
      <c r="H7" s="3014"/>
      <c r="I7" s="3015"/>
    </row>
    <row r="8" spans="1:9" ht="15.75">
      <c r="A8" s="3012" t="str">
        <f>结果表!A122</f>
        <v>房地产抵押价值</v>
      </c>
      <c r="B8" s="3012"/>
      <c r="C8" s="3012"/>
      <c r="D8" s="3012">
        <f ca="1">结果表!D122</f>
        <v>13829</v>
      </c>
      <c r="E8" s="3012"/>
      <c r="F8" s="3012"/>
      <c r="G8" s="3012"/>
      <c r="H8" s="3012"/>
      <c r="I8" s="3012"/>
    </row>
    <row r="9" spans="1:9" ht="15">
      <c r="A9" s="3010" t="s">
        <v>1634</v>
      </c>
      <c r="B9" s="3010"/>
      <c r="C9" s="3010"/>
      <c r="D9" s="3011" t="str">
        <f ca="1">结果表!D123</f>
        <v>壹亿叁仟捌佰贰拾玖万元整</v>
      </c>
      <c r="E9" s="3011"/>
      <c r="F9" s="3011"/>
      <c r="G9" s="3011"/>
      <c r="H9" s="3011"/>
      <c r="I9" s="3011"/>
    </row>
    <row r="10" spans="1:9" ht="15.75">
      <c r="A10" s="3012" t="str">
        <f>结果表!A124</f>
        <v>抵押担保权已注销时的房地产抵押价值</v>
      </c>
      <c r="B10" s="3012"/>
      <c r="C10" s="3012"/>
      <c r="D10" s="3012">
        <f ca="1">结果表!D124</f>
        <v>38829</v>
      </c>
      <c r="E10" s="3012"/>
      <c r="F10" s="3012"/>
      <c r="G10" s="3012"/>
      <c r="H10" s="3012"/>
      <c r="I10" s="3012"/>
    </row>
    <row r="11" spans="1:9" ht="15">
      <c r="A11" s="3010" t="s">
        <v>1634</v>
      </c>
      <c r="B11" s="3010"/>
      <c r="C11" s="3010"/>
      <c r="D11" s="3011" t="str">
        <f ca="1">结果表!D125</f>
        <v>叁亿捌仟捌佰贰拾玖万元整</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1634</v>
      </c>
      <c r="B13" s="3016"/>
      <c r="C13" s="3016"/>
      <c r="D13" s="3017" t="e">
        <f>结果表!D127</f>
        <v>#VALUE!</v>
      </c>
      <c r="E13" s="3017"/>
      <c r="F13" s="3017"/>
      <c r="G13" s="3017"/>
      <c r="H13" s="3017"/>
      <c r="I13" s="3017"/>
    </row>
    <row r="14" spans="1:9" ht="15" thickTop="1">
      <c r="A14" s="3018" t="s">
        <v>1639</v>
      </c>
      <c r="B14" s="3018"/>
      <c r="C14" s="3018"/>
      <c r="D14" s="3018"/>
      <c r="E14" s="3018"/>
      <c r="F14" s="3018"/>
      <c r="G14" s="3018"/>
      <c r="H14" s="3018"/>
      <c r="I14" s="3018"/>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9" t="s">
        <v>1656</v>
      </c>
      <c r="B1" s="3019"/>
      <c r="C1" s="3019"/>
      <c r="D1" s="3019"/>
    </row>
    <row r="2" spans="1:4" ht="18">
      <c r="A2" s="3020" t="s">
        <v>1640</v>
      </c>
      <c r="B2" s="3020"/>
      <c r="C2" s="3020"/>
      <c r="D2" s="3020"/>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0" t="s">
        <v>1646</v>
      </c>
      <c r="B6" s="3020"/>
      <c r="C6" s="3020"/>
      <c r="D6" s="3020"/>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1" t="s">
        <v>1649</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1650</v>
      </c>
      <c r="B16" s="3025"/>
      <c r="C16" s="3025"/>
      <c r="D16" s="3025"/>
    </row>
    <row r="17" spans="1:4" ht="144" customHeight="1">
      <c r="A17" s="3025" t="s">
        <v>1651</v>
      </c>
      <c r="B17" s="3025"/>
      <c r="C17" s="3025"/>
      <c r="D17" s="3025"/>
    </row>
    <row r="18" spans="1:4" ht="15.75" customHeight="1">
      <c r="A18" s="3022" t="str">
        <f>IF(项目基本情况!B8="抵押",结果表!K120,"——")</f>
        <v>故，本次评估估价师知悉的法定优先受偿款为人民币25000万元整。</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1652</v>
      </c>
      <c r="B22" s="3027"/>
      <c r="C22" s="3027"/>
      <c r="D22" s="3027"/>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3" t="s">
        <v>1663</v>
      </c>
      <c r="B15" s="3028" t="s">
        <v>136</v>
      </c>
      <c r="C15" s="3029"/>
    </row>
    <row r="16" spans="1:7" ht="13.5">
      <c r="A16" s="3034"/>
      <c r="B16" s="3028" t="s">
        <v>69</v>
      </c>
      <c r="C16" s="3029"/>
    </row>
    <row r="17" spans="1:3" ht="13.5">
      <c r="A17" s="3034"/>
      <c r="B17" s="3031" t="s">
        <v>1664</v>
      </c>
      <c r="C17" s="1998" t="s">
        <v>1663</v>
      </c>
    </row>
    <row r="18" spans="1:3" ht="13.5">
      <c r="A18" s="3034"/>
      <c r="B18" s="3031"/>
      <c r="C18" s="1998" t="s">
        <v>1665</v>
      </c>
    </row>
    <row r="19" spans="1:3" ht="13.5">
      <c r="A19" s="3034"/>
      <c r="B19" s="3031"/>
      <c r="C19" s="1998" t="s">
        <v>1666</v>
      </c>
    </row>
    <row r="20" spans="1:3" ht="13.5">
      <c r="A20" s="3035"/>
      <c r="B20" s="3030" t="s">
        <v>1667</v>
      </c>
      <c r="C20" s="3029"/>
    </row>
    <row r="21" spans="1:3" ht="13.5">
      <c r="A21" s="1999" t="s">
        <v>1668</v>
      </c>
      <c r="B21" s="2000"/>
      <c r="C21" s="2001"/>
    </row>
    <row r="22" spans="1:3" ht="13.5">
      <c r="A22" s="3032" t="s">
        <v>1669</v>
      </c>
      <c r="B22" s="3030" t="s">
        <v>1670</v>
      </c>
      <c r="C22" s="3029"/>
    </row>
    <row r="23" spans="1:3" ht="13.5">
      <c r="A23" s="3032"/>
      <c r="B23" s="3030" t="s">
        <v>1671</v>
      </c>
      <c r="C23" s="3029"/>
    </row>
    <row r="24" spans="1:3" ht="13.5">
      <c r="A24" s="3032"/>
      <c r="B24" s="3030" t="s">
        <v>1672</v>
      </c>
      <c r="C24" s="3029"/>
    </row>
    <row r="25" spans="1:3" ht="13.5">
      <c r="A25" s="3032"/>
      <c r="B25" s="3031" t="s">
        <v>1673</v>
      </c>
      <c r="C25" s="1998" t="s">
        <v>1674</v>
      </c>
    </row>
    <row r="26" spans="1:3" ht="13.5">
      <c r="A26" s="3032"/>
      <c r="B26" s="3031"/>
      <c r="C26" s="1998" t="s">
        <v>1675</v>
      </c>
    </row>
    <row r="27" spans="1:3" ht="13.5">
      <c r="A27" s="3032"/>
      <c r="B27" s="3031"/>
      <c r="C27" s="1998" t="s">
        <v>1676</v>
      </c>
    </row>
    <row r="28" spans="1:3" ht="13.5">
      <c r="A28" s="3032"/>
      <c r="B28" s="3031"/>
      <c r="C28" s="1998" t="s">
        <v>1677</v>
      </c>
    </row>
    <row r="29" spans="1:3" ht="13.5">
      <c r="A29" s="3032"/>
      <c r="B29" s="3031"/>
      <c r="C29" s="1998" t="s">
        <v>1678</v>
      </c>
    </row>
    <row r="30" spans="1:3" ht="13.5">
      <c r="A30" s="3032"/>
      <c r="B30" s="3031"/>
      <c r="C30" s="1998" t="s">
        <v>1679</v>
      </c>
    </row>
    <row r="31" spans="1:3" ht="13.5">
      <c r="A31" s="3032"/>
      <c r="B31" s="3031"/>
      <c r="C31" s="1998" t="s">
        <v>1680</v>
      </c>
    </row>
    <row r="32" spans="1:3" ht="13.5">
      <c r="A32" s="3032"/>
      <c r="B32" s="3031"/>
      <c r="C32" s="1998" t="s">
        <v>1681</v>
      </c>
    </row>
    <row r="33" spans="1:3" ht="13.5">
      <c r="A33" s="3032"/>
      <c r="B33" s="3031"/>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44000</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3044</v>
      </c>
      <c r="B14" s="1022">
        <f ca="1">IF(C14&lt;B2,"已过期",1120040230)</f>
        <v>1120040230</v>
      </c>
      <c r="C14" s="2347">
        <v>44864</v>
      </c>
      <c r="D14" s="2350" t="s">
        <v>3044</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3051</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3053</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2020-06-18T06:15:01Z</dcterms:modified>
</cp:coreProperties>
</file>