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基准地价" sheetId="46" r:id="rId18"/>
    <sheet name="比较法-住宅、综合" sheetId="39" r:id="rId19"/>
    <sheet name="剩余法-待开发" sheetId="12" r:id="rId20"/>
    <sheet name="剩余法-现房" sheetId="43" state="hidden" r:id="rId21"/>
    <sheet name="比较法-工业" sheetId="40"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商业"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不动产收益法-体育设施" sheetId="69" r:id="rId41"/>
    <sheet name="不动产收益法-教育培训" sheetId="70" r:id="rId42"/>
    <sheet name="不动产收益法-冰场" sheetId="71" r:id="rId43"/>
    <sheet name="不动产收益法-车库" sheetId="72" r:id="rId44"/>
    <sheet name="不动产收益法-地下商业" sheetId="74" r:id="rId45"/>
    <sheet name="Sheet1" sheetId="68" r:id="rId46"/>
    <sheet name="Sheet6" sheetId="73" r:id="rId47"/>
  </sheets>
  <definedNames>
    <definedName name="_xlnm._FilterDatabase" localSheetId="21"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S13" i="3" l="1"/>
  <c r="B30" i="9" l="1"/>
  <c r="D39" i="46"/>
  <c r="D33" i="46"/>
  <c r="P75" i="74"/>
  <c r="Q73" i="74"/>
  <c r="P62" i="74"/>
  <c r="Q60" i="74"/>
  <c r="D60" i="74"/>
  <c r="Q59" i="74"/>
  <c r="K59" i="74"/>
  <c r="F58" i="74"/>
  <c r="Q52" i="74"/>
  <c r="J50" i="74"/>
  <c r="J51" i="74" s="1"/>
  <c r="M47" i="74"/>
  <c r="L46" i="74" s="1"/>
  <c r="F34" i="74"/>
  <c r="F33" i="74"/>
  <c r="F60" i="74" s="1"/>
  <c r="F32" i="74"/>
  <c r="F59" i="74" s="1"/>
  <c r="F31" i="74"/>
  <c r="F28" i="74"/>
  <c r="C28" i="74"/>
  <c r="F23" i="74"/>
  <c r="D24" i="74" s="1"/>
  <c r="D23" i="74"/>
  <c r="D22" i="74"/>
  <c r="F21" i="74"/>
  <c r="M20" i="74"/>
  <c r="F20" i="74"/>
  <c r="M19" i="74"/>
  <c r="M18" i="74"/>
  <c r="F18" i="74"/>
  <c r="M17" i="74"/>
  <c r="F17" i="74"/>
  <c r="F15" i="74"/>
  <c r="G1" i="74"/>
  <c r="AM11" i="1"/>
  <c r="AL11" i="1"/>
  <c r="AK11" i="1"/>
  <c r="Y11" i="1"/>
  <c r="U11" i="1"/>
  <c r="Q11" i="1"/>
  <c r="N11" i="1"/>
  <c r="L11" i="1"/>
  <c r="I11" i="1"/>
  <c r="H11" i="1"/>
  <c r="G24" i="6"/>
  <c r="AN13" i="3"/>
  <c r="F7" i="74"/>
  <c r="M28" i="74"/>
  <c r="M22" i="74"/>
  <c r="L47" i="74"/>
  <c r="F36" i="74"/>
  <c r="M24" i="74"/>
  <c r="F8" i="74"/>
  <c r="L59" i="74" l="1"/>
  <c r="F50" i="74"/>
  <c r="F63" i="74"/>
  <c r="F49" i="74"/>
  <c r="M7" i="74"/>
  <c r="F61" i="74"/>
  <c r="U9" i="1"/>
  <c r="M6" i="74"/>
  <c r="C14" i="74"/>
  <c r="M23" i="74"/>
  <c r="M29" i="74"/>
  <c r="F38" i="74"/>
  <c r="F6" i="74"/>
  <c r="F13" i="74"/>
  <c r="M21" i="74"/>
  <c r="M27" i="74"/>
  <c r="F37" i="74"/>
  <c r="F43" i="74"/>
  <c r="M9" i="74"/>
  <c r="F16" i="74"/>
  <c r="M26" i="74"/>
  <c r="J36" i="74"/>
  <c r="L48" i="74"/>
  <c r="M8" i="74"/>
  <c r="J15" i="74"/>
  <c r="F26" i="74"/>
  <c r="F35" i="74"/>
  <c r="F40" i="74"/>
  <c r="F70" i="74" l="1"/>
  <c r="F67" i="74"/>
  <c r="F64" i="74"/>
  <c r="F62" i="74"/>
  <c r="C61" i="74" s="1"/>
  <c r="C34" i="74"/>
  <c r="C27" i="74"/>
  <c r="J20" i="74"/>
  <c r="L60" i="74"/>
  <c r="L56" i="74"/>
  <c r="L57" i="74"/>
  <c r="L58" i="74"/>
  <c r="J57" i="74"/>
  <c r="J55" i="74" s="1"/>
  <c r="J58" i="74" s="1"/>
  <c r="Q51" i="74" s="1"/>
  <c r="J53" i="74"/>
  <c r="I54" i="74"/>
  <c r="F65" i="74"/>
  <c r="Q72" i="74"/>
  <c r="C18" i="74"/>
  <c r="C15" i="74"/>
  <c r="J6" i="74"/>
  <c r="C48" i="74"/>
  <c r="Q75" i="74"/>
  <c r="Q62" i="74"/>
  <c r="AL13" i="3"/>
  <c r="C16" i="74"/>
  <c r="C17" i="74"/>
  <c r="C19" i="74" l="1"/>
  <c r="Q61" i="74"/>
  <c r="Q74" i="74"/>
  <c r="Q53" i="74"/>
  <c r="F1" i="74"/>
  <c r="Q67" i="74"/>
  <c r="Q58" i="74"/>
  <c r="H7" i="1"/>
  <c r="I7" i="1"/>
  <c r="H8" i="1"/>
  <c r="I8" i="1"/>
  <c r="H9" i="1"/>
  <c r="I9" i="1"/>
  <c r="Q8" i="1"/>
  <c r="C20" i="74" l="1"/>
  <c r="C26" i="74" s="1"/>
  <c r="L8" i="1"/>
  <c r="L7" i="1"/>
  <c r="Q73" i="72" l="1"/>
  <c r="Q60" i="72"/>
  <c r="D60" i="72"/>
  <c r="Q59" i="72"/>
  <c r="K59" i="72"/>
  <c r="P75" i="72" s="1"/>
  <c r="F58" i="72"/>
  <c r="Q52" i="72"/>
  <c r="J50" i="72"/>
  <c r="M47" i="72"/>
  <c r="L46" i="72" s="1"/>
  <c r="F33" i="72"/>
  <c r="F60" i="72" s="1"/>
  <c r="F31" i="72"/>
  <c r="F23" i="72"/>
  <c r="D24" i="72" s="1"/>
  <c r="D23" i="72"/>
  <c r="D22" i="72"/>
  <c r="F21" i="72"/>
  <c r="F20" i="72"/>
  <c r="M19" i="72"/>
  <c r="F18" i="72"/>
  <c r="M17" i="72"/>
  <c r="F17" i="72"/>
  <c r="F15" i="72"/>
  <c r="Q73" i="71"/>
  <c r="Q60" i="71"/>
  <c r="D60" i="71"/>
  <c r="Q59" i="71"/>
  <c r="K59" i="71"/>
  <c r="P75" i="71" s="1"/>
  <c r="F58" i="71"/>
  <c r="Q52" i="71"/>
  <c r="J50" i="71"/>
  <c r="M47" i="71"/>
  <c r="L46" i="71"/>
  <c r="F33" i="71"/>
  <c r="F60" i="71" s="1"/>
  <c r="F31" i="71"/>
  <c r="F23" i="71"/>
  <c r="D24" i="71" s="1"/>
  <c r="D23" i="71"/>
  <c r="D22" i="71"/>
  <c r="F21" i="71"/>
  <c r="F20" i="71"/>
  <c r="M19" i="71"/>
  <c r="F18" i="71"/>
  <c r="M17" i="71"/>
  <c r="F17" i="71"/>
  <c r="F15" i="71"/>
  <c r="Q73" i="70"/>
  <c r="Q60" i="70"/>
  <c r="D60" i="70"/>
  <c r="Q59" i="70"/>
  <c r="K59" i="70"/>
  <c r="P75" i="70" s="1"/>
  <c r="F58" i="70"/>
  <c r="Q52" i="70"/>
  <c r="J50" i="70"/>
  <c r="M47" i="70"/>
  <c r="L46" i="70" s="1"/>
  <c r="F33" i="70"/>
  <c r="F60" i="70" s="1"/>
  <c r="F31" i="70"/>
  <c r="F23" i="70"/>
  <c r="D24" i="70" s="1"/>
  <c r="D23" i="70"/>
  <c r="D22" i="70"/>
  <c r="F21" i="70"/>
  <c r="F20" i="70"/>
  <c r="M19" i="70"/>
  <c r="F18" i="70"/>
  <c r="M17" i="70"/>
  <c r="F17" i="70"/>
  <c r="F15" i="70"/>
  <c r="Q73" i="69"/>
  <c r="Q60" i="69"/>
  <c r="D60" i="69"/>
  <c r="Q59" i="69"/>
  <c r="K59" i="69"/>
  <c r="P75" i="69" s="1"/>
  <c r="F58" i="69"/>
  <c r="Q52" i="69"/>
  <c r="J50" i="69"/>
  <c r="M47" i="69"/>
  <c r="L46" i="69" s="1"/>
  <c r="F33" i="69"/>
  <c r="F60" i="69" s="1"/>
  <c r="F31" i="69"/>
  <c r="F23" i="69"/>
  <c r="D24" i="69" s="1"/>
  <c r="D23" i="69"/>
  <c r="D22" i="69"/>
  <c r="F21" i="69"/>
  <c r="F20" i="69"/>
  <c r="M19" i="69"/>
  <c r="F18" i="69"/>
  <c r="M17" i="69"/>
  <c r="F17" i="69"/>
  <c r="F15" i="69"/>
  <c r="I40" i="39"/>
  <c r="G40" i="39"/>
  <c r="E40" i="39"/>
  <c r="C40" i="39"/>
  <c r="E73" i="39"/>
  <c r="F73" i="39" s="1"/>
  <c r="G73" i="39" s="1"/>
  <c r="H73" i="39" s="1"/>
  <c r="I73" i="39" s="1"/>
  <c r="J73" i="39" s="1"/>
  <c r="K73" i="39" s="1"/>
  <c r="L73" i="39" s="1"/>
  <c r="M73" i="39" s="1"/>
  <c r="N73" i="39" s="1"/>
  <c r="O73" i="39" s="1"/>
  <c r="P73" i="39" s="1"/>
  <c r="D73" i="39"/>
  <c r="I48" i="39"/>
  <c r="G48" i="39"/>
  <c r="E48" i="39"/>
  <c r="I13" i="39"/>
  <c r="G13" i="39"/>
  <c r="E13" i="39"/>
  <c r="I9" i="39"/>
  <c r="G9" i="39"/>
  <c r="E9" i="39"/>
  <c r="I7" i="39"/>
  <c r="G7" i="39"/>
  <c r="E7" i="39"/>
  <c r="C7" i="39"/>
  <c r="E120" i="39"/>
  <c r="F120" i="39" s="1"/>
  <c r="G120" i="39" s="1"/>
  <c r="H120" i="39" s="1"/>
  <c r="I120" i="39" s="1"/>
  <c r="J120" i="39" s="1"/>
  <c r="K120" i="39" s="1"/>
  <c r="D120" i="39"/>
  <c r="AM10" i="1"/>
  <c r="AL10" i="1"/>
  <c r="AM8" i="1"/>
  <c r="AL8" i="1"/>
  <c r="AM7" i="1"/>
  <c r="AL7" i="1"/>
  <c r="AK10" i="1"/>
  <c r="AK8" i="1"/>
  <c r="AK7" i="1"/>
  <c r="Y10" i="1"/>
  <c r="Y9" i="1"/>
  <c r="Y8" i="1"/>
  <c r="Y7" i="1"/>
  <c r="W10" i="1"/>
  <c r="W9" i="1"/>
  <c r="W11" i="1" s="1"/>
  <c r="W8" i="1"/>
  <c r="W7" i="1"/>
  <c r="V9" i="1"/>
  <c r="V11" i="1" s="1"/>
  <c r="V8" i="1"/>
  <c r="V7" i="1"/>
  <c r="N14" i="1"/>
  <c r="N10" i="1"/>
  <c r="N9" i="1"/>
  <c r="N8" i="1"/>
  <c r="N7" i="1"/>
  <c r="L14" i="1"/>
  <c r="AT13" i="3"/>
  <c r="C11" i="4"/>
  <c r="B7" i="4"/>
  <c r="D3" i="4"/>
  <c r="F42" i="74"/>
  <c r="F9" i="74"/>
  <c r="C6" i="74" l="1"/>
  <c r="P62" i="69"/>
  <c r="P62" i="70"/>
  <c r="P62" i="71"/>
  <c r="P62" i="72"/>
  <c r="L3" i="59"/>
  <c r="K3" i="59"/>
  <c r="J3" i="59"/>
  <c r="I3" i="59"/>
  <c r="AH5" i="59"/>
  <c r="AG5" i="59"/>
  <c r="AE5" i="59"/>
  <c r="AF5" i="59" s="1"/>
  <c r="AD5" i="59"/>
  <c r="Q5" i="59"/>
  <c r="Q6" i="59"/>
  <c r="P5" i="59"/>
  <c r="P6" i="59"/>
  <c r="O5" i="59"/>
  <c r="O6" i="59"/>
  <c r="N5" i="59"/>
  <c r="N6" i="59"/>
  <c r="AH6" i="59"/>
  <c r="AG6" i="59"/>
  <c r="AE6" i="59"/>
  <c r="AF6" i="59" s="1"/>
  <c r="AD6" i="59"/>
  <c r="Q7" i="59"/>
  <c r="P7" i="59"/>
  <c r="O7" i="59"/>
  <c r="N7" i="59"/>
  <c r="M19" i="46"/>
  <c r="J50" i="15"/>
  <c r="D9" i="59"/>
  <c r="AH7" i="59"/>
  <c r="AG7" i="59"/>
  <c r="AE7" i="59"/>
  <c r="AF7" i="59" s="1"/>
  <c r="AD7" i="59"/>
  <c r="AE8" i="59"/>
  <c r="AF8" i="59"/>
  <c r="AG8" i="59"/>
  <c r="AH8" i="59"/>
  <c r="AD8" i="59"/>
  <c r="Q8" i="59"/>
  <c r="P8" i="59"/>
  <c r="O8" i="59"/>
  <c r="N8" i="59"/>
  <c r="N9" i="59"/>
  <c r="Q9" i="59"/>
  <c r="P9" i="59"/>
  <c r="O9" i="59"/>
  <c r="K59" i="15"/>
  <c r="P62" i="15" s="1"/>
  <c r="Q74" i="44"/>
  <c r="Q61" i="44"/>
  <c r="Q60" i="44"/>
  <c r="Q53" i="44"/>
  <c r="J51" i="44"/>
  <c r="J52" i="44" s="1"/>
  <c r="M48" i="44"/>
  <c r="A16" i="55"/>
  <c r="A15" i="55"/>
  <c r="A10" i="55"/>
  <c r="A9" i="55"/>
  <c r="A8" i="55"/>
  <c r="A6" i="54"/>
  <c r="B49" i="63" s="1"/>
  <c r="A8" i="54"/>
  <c r="A7" i="54"/>
  <c r="A27" i="51"/>
  <c r="Q10" i="59"/>
  <c r="O10" i="59"/>
  <c r="N11" i="59"/>
  <c r="O11" i="59"/>
  <c r="P11" i="59"/>
  <c r="Q11" i="59"/>
  <c r="N10" i="59"/>
  <c r="P10" i="59"/>
  <c r="K75" i="9"/>
  <c r="K6" i="4"/>
  <c r="O76" i="9" s="1"/>
  <c r="B22" i="31"/>
  <c r="E15" i="66"/>
  <c r="F15" i="66"/>
  <c r="E16" i="66"/>
  <c r="F16" i="66"/>
  <c r="E17" i="66"/>
  <c r="F17" i="66"/>
  <c r="E18" i="66"/>
  <c r="F18" i="66"/>
  <c r="E19" i="66"/>
  <c r="F19" i="66"/>
  <c r="E20" i="66"/>
  <c r="F20" i="66"/>
  <c r="E21" i="66"/>
  <c r="F21" i="66"/>
  <c r="E22" i="66"/>
  <c r="F22" i="66"/>
  <c r="E23" i="66"/>
  <c r="F23" i="66"/>
  <c r="B3" i="66"/>
  <c r="B8" i="59"/>
  <c r="B7" i="59" s="1"/>
  <c r="B6" i="59" s="1"/>
  <c r="B5" i="59" s="1"/>
  <c r="E8" i="59"/>
  <c r="E7" i="59" s="1"/>
  <c r="E6" i="59" s="1"/>
  <c r="E5" i="59" s="1"/>
  <c r="F8" i="59"/>
  <c r="F7" i="59" s="1"/>
  <c r="F6" i="59" s="1"/>
  <c r="F5" i="59" s="1"/>
  <c r="U8" i="59"/>
  <c r="S8" i="59"/>
  <c r="AD3" i="59"/>
  <c r="AE3" i="59"/>
  <c r="AF3" i="59" s="1"/>
  <c r="AG3" i="59"/>
  <c r="AH3"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D21" i="59"/>
  <c r="AE21" i="59"/>
  <c r="AF21" i="59" s="1"/>
  <c r="AG21" i="59"/>
  <c r="AH21" i="59"/>
  <c r="AD22" i="59"/>
  <c r="AE22" i="59"/>
  <c r="AF22" i="59"/>
  <c r="AG22" i="59"/>
  <c r="AH22" i="59"/>
  <c r="AH23" i="59"/>
  <c r="AG23" i="59"/>
  <c r="AE23" i="59"/>
  <c r="AF23" i="59"/>
  <c r="AD23" i="59"/>
  <c r="AD24" i="59"/>
  <c r="AE24" i="59"/>
  <c r="AF24" i="59"/>
  <c r="AG24" i="59"/>
  <c r="AH24" i="59"/>
  <c r="S2" i="31"/>
  <c r="M2" i="31"/>
  <c r="N2" i="31"/>
  <c r="O2" i="31"/>
  <c r="P2" i="31"/>
  <c r="Q2" i="31"/>
  <c r="R2" i="31"/>
  <c r="C8" i="59"/>
  <c r="C7" i="59" s="1"/>
  <c r="C3" i="65"/>
  <c r="C1" i="65"/>
  <c r="N1" i="65" s="1"/>
  <c r="D8" i="59"/>
  <c r="B76" i="63"/>
  <c r="M5" i="54"/>
  <c r="B41" i="63" s="1"/>
  <c r="A23" i="51"/>
  <c r="Y12" i="46"/>
  <c r="AA9" i="46"/>
  <c r="AB9" i="46"/>
  <c r="AB10" i="46" s="1"/>
  <c r="AC9" i="46"/>
  <c r="AC10" i="46" s="1"/>
  <c r="AD9" i="46"/>
  <c r="AD10" i="46" s="1"/>
  <c r="AE9" i="46"/>
  <c r="AF9" i="46"/>
  <c r="AF10" i="46" s="1"/>
  <c r="AG9" i="46"/>
  <c r="AG10" i="46" s="1"/>
  <c r="AH9" i="46"/>
  <c r="AH10" i="46" s="1"/>
  <c r="AI9" i="46"/>
  <c r="AJ9" i="46"/>
  <c r="AJ10" i="46" s="1"/>
  <c r="Z9" i="46"/>
  <c r="Z10" i="46" s="1"/>
  <c r="AI10" i="46"/>
  <c r="AE10" i="46"/>
  <c r="AA10" i="46"/>
  <c r="Y10" i="46"/>
  <c r="AJ12" i="46"/>
  <c r="AF12" i="46"/>
  <c r="AB12" i="46"/>
  <c r="AI12" i="46"/>
  <c r="AE12" i="46"/>
  <c r="AA12" i="46"/>
  <c r="B73" i="63"/>
  <c r="A21" i="64"/>
  <c r="B75" i="63" s="1"/>
  <c r="A27" i="64"/>
  <c r="A15" i="64"/>
  <c r="A14" i="64"/>
  <c r="A11" i="64"/>
  <c r="A3" i="64"/>
  <c r="A45" i="9"/>
  <c r="K40" i="9" s="1"/>
  <c r="A44" i="9"/>
  <c r="C57" i="10"/>
  <c r="A28" i="51" s="1"/>
  <c r="N4" i="63" s="1"/>
  <c r="C56" i="10"/>
  <c r="C55" i="10"/>
  <c r="C54" i="10"/>
  <c r="B44" i="63"/>
  <c r="B40" i="63"/>
  <c r="B30" i="63"/>
  <c r="B27" i="63"/>
  <c r="B25" i="63"/>
  <c r="A11" i="51"/>
  <c r="B10" i="63" s="1"/>
  <c r="A26" i="64"/>
  <c r="A26" i="51"/>
  <c r="K39"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51" i="10"/>
  <c r="B20" i="63"/>
  <c r="B17" i="63"/>
  <c r="A15" i="51"/>
  <c r="B12" i="63" s="1"/>
  <c r="A14" i="51"/>
  <c r="B11" i="63" s="1"/>
  <c r="B66" i="63"/>
  <c r="A4" i="55"/>
  <c r="B57" i="63" s="1"/>
  <c r="G5" i="54"/>
  <c r="B34" i="63" s="1"/>
  <c r="E5" i="54"/>
  <c r="B32" i="63" s="1"/>
  <c r="R2" i="54"/>
  <c r="B24" i="63" s="1"/>
  <c r="B19" i="63"/>
  <c r="B49" i="50"/>
  <c r="B5" i="63" s="1"/>
  <c r="B40" i="50"/>
  <c r="B3" i="63" s="1"/>
  <c r="B21" i="63"/>
  <c r="B67" i="63"/>
  <c r="I19" i="46"/>
  <c r="Q12" i="59"/>
  <c r="F12" i="59" s="1"/>
  <c r="P12" i="59"/>
  <c r="O12" i="59"/>
  <c r="C12" i="59" s="1"/>
  <c r="N12" i="59"/>
  <c r="D73" i="59"/>
  <c r="F72" i="59"/>
  <c r="F71" i="59" s="1"/>
  <c r="F70" i="59" s="1"/>
  <c r="E72" i="59"/>
  <c r="E71" i="59"/>
  <c r="E70" i="59" s="1"/>
  <c r="C72" i="59"/>
  <c r="D72" i="59" s="1"/>
  <c r="B72" i="59"/>
  <c r="B71" i="59" s="1"/>
  <c r="B70" i="59" s="1"/>
  <c r="D69" i="59"/>
  <c r="F68" i="59"/>
  <c r="F67" i="59" s="1"/>
  <c r="F66" i="59" s="1"/>
  <c r="E68" i="59"/>
  <c r="E67" i="59"/>
  <c r="E66" i="59" s="1"/>
  <c r="C68" i="59"/>
  <c r="D68" i="59" s="1"/>
  <c r="B68" i="59"/>
  <c r="B67" i="59" s="1"/>
  <c r="B66" i="59" s="1"/>
  <c r="D65" i="59"/>
  <c r="Q64" i="59"/>
  <c r="P64" i="59"/>
  <c r="O64" i="59"/>
  <c r="N64" i="59"/>
  <c r="F64" i="59"/>
  <c r="V64" i="59" s="1"/>
  <c r="E64" i="59"/>
  <c r="U64" i="59" s="1"/>
  <c r="C64" i="59"/>
  <c r="T64" i="59" s="1"/>
  <c r="B64" i="59"/>
  <c r="S64" i="59" s="1"/>
  <c r="Q63" i="59"/>
  <c r="P63" i="59"/>
  <c r="O63" i="59"/>
  <c r="N63" i="59"/>
  <c r="F63" i="59"/>
  <c r="F62" i="59" s="1"/>
  <c r="B63" i="59"/>
  <c r="B62" i="59" s="1"/>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s="1"/>
  <c r="E56" i="59"/>
  <c r="U56" i="59" s="1"/>
  <c r="C56" i="59"/>
  <c r="B56" i="59"/>
  <c r="S56" i="59" s="1"/>
  <c r="Q55" i="59"/>
  <c r="P55" i="59"/>
  <c r="O55" i="59"/>
  <c r="N55" i="59"/>
  <c r="F55" i="59"/>
  <c r="F54" i="59" s="1"/>
  <c r="B55" i="59"/>
  <c r="B54" i="59" s="1"/>
  <c r="Q54" i="59"/>
  <c r="P54" i="59"/>
  <c r="O54" i="59"/>
  <c r="N54" i="59"/>
  <c r="Q53" i="59"/>
  <c r="P53" i="59"/>
  <c r="O53" i="59"/>
  <c r="N53" i="59"/>
  <c r="D53" i="59"/>
  <c r="F52" i="59"/>
  <c r="V52" i="59"/>
  <c r="E52" i="59"/>
  <c r="E51" i="59"/>
  <c r="P51" i="59" s="1"/>
  <c r="C52" i="59"/>
  <c r="B52" i="59"/>
  <c r="N52" i="59" s="1"/>
  <c r="F51" i="59"/>
  <c r="F50" i="59" s="1"/>
  <c r="B51" i="59"/>
  <c r="N51"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s="1"/>
  <c r="D46" i="59" s="1"/>
  <c r="N45" i="59"/>
  <c r="B46" i="59" s="1"/>
  <c r="B47" i="59" s="1"/>
  <c r="B48" i="59" s="1"/>
  <c r="S48" i="59" s="1"/>
  <c r="D45" i="59"/>
  <c r="Q44" i="59"/>
  <c r="P44" i="59"/>
  <c r="O44" i="59"/>
  <c r="N44" i="59"/>
  <c r="Q43" i="59"/>
  <c r="P43" i="59"/>
  <c r="O43" i="59"/>
  <c r="N43" i="59"/>
  <c r="Q42" i="59"/>
  <c r="P42" i="59"/>
  <c r="O42" i="59"/>
  <c r="N42" i="59"/>
  <c r="Q41" i="59"/>
  <c r="F42" i="59" s="1"/>
  <c r="F43" i="59" s="1"/>
  <c r="P41" i="59"/>
  <c r="E42" i="59" s="1"/>
  <c r="E43" i="59"/>
  <c r="E44" i="59" s="1"/>
  <c r="U44" i="59" s="1"/>
  <c r="O41" i="59"/>
  <c r="C42" i="59"/>
  <c r="D42" i="59" s="1"/>
  <c r="N41" i="59"/>
  <c r="B42" i="59"/>
  <c r="B43" i="59" s="1"/>
  <c r="B44" i="59" s="1"/>
  <c r="S44" i="59" s="1"/>
  <c r="D41" i="59"/>
  <c r="Q40" i="59"/>
  <c r="P40" i="59"/>
  <c r="O40" i="59"/>
  <c r="N40" i="59"/>
  <c r="Q39" i="59"/>
  <c r="P39" i="59"/>
  <c r="O39" i="59"/>
  <c r="N39" i="59"/>
  <c r="Q38" i="59"/>
  <c r="P38" i="59"/>
  <c r="O38" i="59"/>
  <c r="N38" i="59"/>
  <c r="Q37" i="59"/>
  <c r="F38" i="59"/>
  <c r="P37" i="59"/>
  <c r="E38" i="59"/>
  <c r="E39" i="59" s="1"/>
  <c r="E40" i="59" s="1"/>
  <c r="U40" i="59" s="1"/>
  <c r="O37" i="59"/>
  <c r="C38" i="59" s="1"/>
  <c r="D38" i="59" s="1"/>
  <c r="N37" i="59"/>
  <c r="B38" i="59" s="1"/>
  <c r="D37" i="59"/>
  <c r="Q36" i="59"/>
  <c r="P36" i="59"/>
  <c r="O36" i="59"/>
  <c r="N36" i="59"/>
  <c r="Q35" i="59"/>
  <c r="P35" i="59"/>
  <c r="O35" i="59"/>
  <c r="N35" i="59"/>
  <c r="Q34" i="59"/>
  <c r="P34" i="59"/>
  <c r="O34" i="59"/>
  <c r="N34" i="59"/>
  <c r="Q33" i="59"/>
  <c r="F34" i="59" s="1"/>
  <c r="F35" i="59" s="1"/>
  <c r="F36" i="59" s="1"/>
  <c r="V36" i="59" s="1"/>
  <c r="P33" i="59"/>
  <c r="E34" i="59" s="1"/>
  <c r="E35" i="59" s="1"/>
  <c r="E36" i="59" s="1"/>
  <c r="U36" i="59" s="1"/>
  <c r="O33" i="59"/>
  <c r="C34" i="59" s="1"/>
  <c r="N33" i="59"/>
  <c r="B34" i="59" s="1"/>
  <c r="B35" i="59" s="1"/>
  <c r="B36" i="59" s="1"/>
  <c r="S36" i="59" s="1"/>
  <c r="D33" i="59"/>
  <c r="T32" i="59"/>
  <c r="Q32" i="59"/>
  <c r="P32" i="59"/>
  <c r="O32" i="59"/>
  <c r="N32" i="59"/>
  <c r="D32" i="59"/>
  <c r="Q31" i="59"/>
  <c r="P31" i="59"/>
  <c r="O31" i="59"/>
  <c r="N31" i="59"/>
  <c r="Q30" i="59"/>
  <c r="P30" i="59"/>
  <c r="O30" i="59"/>
  <c r="N30" i="59"/>
  <c r="Q29" i="59"/>
  <c r="F30" i="59" s="1"/>
  <c r="F31" i="59" s="1"/>
  <c r="P29" i="59"/>
  <c r="E30" i="59" s="1"/>
  <c r="E31" i="59" s="1"/>
  <c r="E32" i="59" s="1"/>
  <c r="U32" i="59" s="1"/>
  <c r="O29" i="59"/>
  <c r="C30" i="59" s="1"/>
  <c r="N29" i="59"/>
  <c r="B30" i="59" s="1"/>
  <c r="B31" i="59" s="1"/>
  <c r="B32" i="59" s="1"/>
  <c r="S32" i="59" s="1"/>
  <c r="D29" i="59"/>
  <c r="Q28" i="59"/>
  <c r="P28" i="59"/>
  <c r="O28" i="59"/>
  <c r="N28" i="59"/>
  <c r="Q27" i="59"/>
  <c r="P27" i="59"/>
  <c r="O27" i="59"/>
  <c r="N27" i="59"/>
  <c r="Q26" i="59"/>
  <c r="P26" i="59"/>
  <c r="O26" i="59"/>
  <c r="N26" i="59"/>
  <c r="Q25" i="59"/>
  <c r="F26" i="59" s="1"/>
  <c r="F27" i="59" s="1"/>
  <c r="F28" i="59" s="1"/>
  <c r="V28" i="59" s="1"/>
  <c r="P25" i="59"/>
  <c r="E26" i="59" s="1"/>
  <c r="E27" i="59" s="1"/>
  <c r="E28" i="59" s="1"/>
  <c r="U28" i="59" s="1"/>
  <c r="O25" i="59"/>
  <c r="C26" i="59" s="1"/>
  <c r="N25" i="59"/>
  <c r="B26" i="59" s="1"/>
  <c r="B27" i="59" s="1"/>
  <c r="B28" i="59" s="1"/>
  <c r="S28" i="59" s="1"/>
  <c r="D25" i="59"/>
  <c r="Q24" i="59"/>
  <c r="P24" i="59"/>
  <c r="O24" i="59"/>
  <c r="N24" i="59"/>
  <c r="Q23" i="59"/>
  <c r="AB23" i="59" s="1"/>
  <c r="P23" i="59"/>
  <c r="O23" i="59"/>
  <c r="Y23" i="59" s="1"/>
  <c r="Z23" i="59" s="1"/>
  <c r="N23" i="59"/>
  <c r="X23" i="59" s="1"/>
  <c r="Q22" i="59"/>
  <c r="P22" i="59"/>
  <c r="AA22" i="59" s="1"/>
  <c r="O22" i="59"/>
  <c r="N22" i="59"/>
  <c r="X22" i="59" s="1"/>
  <c r="Q21" i="59"/>
  <c r="P21" i="59"/>
  <c r="O21" i="59"/>
  <c r="C22" i="59"/>
  <c r="C23" i="59" s="1"/>
  <c r="N21" i="59"/>
  <c r="B22" i="59"/>
  <c r="B23" i="59" s="1"/>
  <c r="B24" i="59" s="1"/>
  <c r="S24" i="59" s="1"/>
  <c r="D21" i="59"/>
  <c r="Q20" i="59"/>
  <c r="AB20" i="59" s="1"/>
  <c r="P20" i="59"/>
  <c r="O20" i="59"/>
  <c r="Y20" i="59" s="1"/>
  <c r="Z20" i="59" s="1"/>
  <c r="N20" i="59"/>
  <c r="Q19" i="59"/>
  <c r="AB19" i="59" s="1"/>
  <c r="P19" i="59"/>
  <c r="O19" i="59"/>
  <c r="Y19" i="59" s="1"/>
  <c r="Z19" i="59" s="1"/>
  <c r="N19" i="59"/>
  <c r="Q18" i="59"/>
  <c r="AB18" i="59" s="1"/>
  <c r="P18" i="59"/>
  <c r="O18" i="59"/>
  <c r="Y18" i="59" s="1"/>
  <c r="Z18" i="59" s="1"/>
  <c r="N18" i="59"/>
  <c r="Q17" i="59"/>
  <c r="F18" i="59" s="1"/>
  <c r="F19" i="59" s="1"/>
  <c r="F20" i="59" s="1"/>
  <c r="V20" i="59" s="1"/>
  <c r="P17" i="59"/>
  <c r="AA17" i="59" s="1"/>
  <c r="O17" i="59"/>
  <c r="Y9" i="59" s="1"/>
  <c r="Z9" i="59" s="1"/>
  <c r="N17" i="59"/>
  <c r="D17" i="59"/>
  <c r="Q16" i="59"/>
  <c r="P16" i="59"/>
  <c r="O16" i="59"/>
  <c r="N16" i="59"/>
  <c r="X16" i="59" s="1"/>
  <c r="Q15" i="59"/>
  <c r="P15" i="59"/>
  <c r="AA15" i="59" s="1"/>
  <c r="O15" i="59"/>
  <c r="N15" i="59"/>
  <c r="Q14" i="59"/>
  <c r="P14" i="59"/>
  <c r="O14" i="59"/>
  <c r="N14" i="59"/>
  <c r="X14" i="59" s="1"/>
  <c r="Q13" i="59"/>
  <c r="P13" i="59"/>
  <c r="AA13" i="59" s="1"/>
  <c r="O13" i="59"/>
  <c r="C14" i="59"/>
  <c r="D14" i="59" s="1"/>
  <c r="N13" i="59"/>
  <c r="B14" i="59"/>
  <c r="B15" i="59" s="1"/>
  <c r="B16" i="59" s="1"/>
  <c r="S16" i="59" s="1"/>
  <c r="D13" i="59"/>
  <c r="X3" i="59"/>
  <c r="X12" i="59"/>
  <c r="AA11" i="59"/>
  <c r="Y10" i="59"/>
  <c r="Z10" i="59" s="1"/>
  <c r="Y12" i="59"/>
  <c r="Z12" i="59" s="1"/>
  <c r="AB12" i="59"/>
  <c r="AB11" i="59"/>
  <c r="E14" i="59"/>
  <c r="E15" i="59" s="1"/>
  <c r="E16" i="59" s="1"/>
  <c r="U16" i="59" s="1"/>
  <c r="S52" i="59"/>
  <c r="AA23" i="59"/>
  <c r="F32" i="59"/>
  <c r="V32" i="59" s="1"/>
  <c r="F39" i="59"/>
  <c r="F40" i="59" s="1"/>
  <c r="V40" i="59"/>
  <c r="F44" i="59"/>
  <c r="V44" i="59" s="1"/>
  <c r="D22" i="59"/>
  <c r="D26" i="59"/>
  <c r="C39" i="59"/>
  <c r="C43" i="59"/>
  <c r="C47" i="59"/>
  <c r="E50" i="59"/>
  <c r="P49" i="59" s="1"/>
  <c r="B50" i="59"/>
  <c r="Q51" i="59"/>
  <c r="T52" i="59"/>
  <c r="D52" i="59"/>
  <c r="P52" i="59"/>
  <c r="U52" i="59"/>
  <c r="Q52" i="59"/>
  <c r="E55" i="59"/>
  <c r="E54" i="59" s="1"/>
  <c r="D56" i="59"/>
  <c r="C59" i="59"/>
  <c r="D59" i="59" s="1"/>
  <c r="E59" i="59"/>
  <c r="E58" i="59" s="1"/>
  <c r="D60" i="59"/>
  <c r="E63" i="59"/>
  <c r="E62" i="59" s="1"/>
  <c r="D64" i="59"/>
  <c r="C67" i="59"/>
  <c r="C71" i="59"/>
  <c r="D71" i="59" s="1"/>
  <c r="U16" i="4"/>
  <c r="S16" i="4"/>
  <c r="Q16" i="4"/>
  <c r="O16" i="4"/>
  <c r="N16" i="4" s="1"/>
  <c r="M16" i="4"/>
  <c r="K16" i="4"/>
  <c r="C70" i="59"/>
  <c r="D70" i="59" s="1"/>
  <c r="D67" i="59"/>
  <c r="C66" i="59"/>
  <c r="D66" i="59"/>
  <c r="C58" i="59"/>
  <c r="D58" i="59" s="1"/>
  <c r="N49" i="59"/>
  <c r="N50" i="59"/>
  <c r="C48" i="59"/>
  <c r="D48" i="59" s="1"/>
  <c r="D47" i="59"/>
  <c r="D43" i="59"/>
  <c r="C44" i="59"/>
  <c r="T44" i="59" s="1"/>
  <c r="C40" i="59"/>
  <c r="D40" i="59" s="1"/>
  <c r="D39" i="59"/>
  <c r="C24" i="59"/>
  <c r="D24" i="59" s="1"/>
  <c r="D23" i="59"/>
  <c r="T24" i="59"/>
  <c r="T40" i="59"/>
  <c r="T48" i="59"/>
  <c r="O27" i="6"/>
  <c r="N27" i="6"/>
  <c r="P26" i="6"/>
  <c r="L26" i="6"/>
  <c r="P25" i="6"/>
  <c r="L25" i="6"/>
  <c r="P24" i="6"/>
  <c r="L24" i="6"/>
  <c r="P23" i="6"/>
  <c r="L23" i="6"/>
  <c r="P22" i="6"/>
  <c r="L22" i="6"/>
  <c r="P21" i="6"/>
  <c r="L21" i="6"/>
  <c r="P20" i="6"/>
  <c r="P19" i="6"/>
  <c r="Z18" i="36"/>
  <c r="Q18" i="36"/>
  <c r="C18" i="36"/>
  <c r="D66" i="36"/>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s="1"/>
  <c r="F83" i="21" s="1"/>
  <c r="G83" i="21" s="1"/>
  <c r="F21" i="21"/>
  <c r="AA21" i="21" s="1"/>
  <c r="C21" i="21"/>
  <c r="Q27" i="40"/>
  <c r="Z27" i="40" s="1"/>
  <c r="D96" i="40"/>
  <c r="E96" i="40" s="1"/>
  <c r="F96" i="40" s="1"/>
  <c r="F27" i="40"/>
  <c r="AA27" i="40" s="1"/>
  <c r="Q31" i="39"/>
  <c r="Z31" i="39" s="1"/>
  <c r="D105" i="39"/>
  <c r="E105" i="39" s="1"/>
  <c r="F105" i="39" s="1"/>
  <c r="F31" i="39"/>
  <c r="AA31" i="39" s="1"/>
  <c r="G20" i="20"/>
  <c r="B85" i="46" s="1"/>
  <c r="C22" i="20"/>
  <c r="B65" i="46" s="1"/>
  <c r="S18" i="36"/>
  <c r="S18" i="35"/>
  <c r="S21" i="37"/>
  <c r="S21" i="21"/>
  <c r="B74"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8" i="46" s="1"/>
  <c r="M99" i="46"/>
  <c r="M108" i="46" s="1"/>
  <c r="N99" i="46"/>
  <c r="N108" i="46" s="1"/>
  <c r="C99" i="46"/>
  <c r="C108" i="46" s="1"/>
  <c r="K100" i="46"/>
  <c r="K58" i="46"/>
  <c r="J58" i="46" s="1"/>
  <c r="D58" i="46"/>
  <c r="K50" i="46"/>
  <c r="D83" i="46"/>
  <c r="D77" i="46"/>
  <c r="B83" i="46"/>
  <c r="B82" i="46"/>
  <c r="B71" i="46"/>
  <c r="B60" i="46"/>
  <c r="B49" i="46"/>
  <c r="M87" i="46"/>
  <c r="N87" i="46" s="1"/>
  <c r="K87" i="46"/>
  <c r="J87" i="46" s="1"/>
  <c r="D87" i="46"/>
  <c r="M86" i="46"/>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s="1"/>
  <c r="K55" i="46"/>
  <c r="M54" i="46"/>
  <c r="N54" i="46" s="1"/>
  <c r="K54" i="46"/>
  <c r="M53" i="46"/>
  <c r="N53" i="46" s="1"/>
  <c r="K53" i="46"/>
  <c r="J53" i="46" s="1"/>
  <c r="D53" i="46"/>
  <c r="M52" i="46"/>
  <c r="N52" i="46" s="1"/>
  <c r="K52" i="46"/>
  <c r="J52" i="46" s="1"/>
  <c r="M51" i="46"/>
  <c r="N51" i="46" s="1"/>
  <c r="K51" i="46"/>
  <c r="J51" i="46" s="1"/>
  <c r="M50" i="46"/>
  <c r="N50" i="46" s="1"/>
  <c r="M49" i="46"/>
  <c r="N49" i="46" s="1"/>
  <c r="K49" i="46"/>
  <c r="J49" i="46" s="1"/>
  <c r="D49" i="46"/>
  <c r="M48" i="46"/>
  <c r="N48" i="46"/>
  <c r="K48" i="46"/>
  <c r="J48" i="46"/>
  <c r="D48" i="46"/>
  <c r="M47" i="46"/>
  <c r="N47" i="46" s="1"/>
  <c r="K47" i="46"/>
  <c r="J47" i="46" s="1"/>
  <c r="D51" i="46"/>
  <c r="J55" i="46"/>
  <c r="D55" i="46"/>
  <c r="N86" i="46"/>
  <c r="D80" i="46"/>
  <c r="D81" i="46"/>
  <c r="N73" i="46"/>
  <c r="D75" i="46"/>
  <c r="J66" i="46"/>
  <c r="D66" i="46"/>
  <c r="J50" i="46"/>
  <c r="D50" i="46"/>
  <c r="J54" i="46"/>
  <c r="D54" i="46" s="1"/>
  <c r="Q73" i="15"/>
  <c r="Q60" i="15"/>
  <c r="Q59" i="15"/>
  <c r="Q52" i="15"/>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A12" i="1"/>
  <c r="R12" i="1" s="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10" i="1" s="1"/>
  <c r="F9" i="1"/>
  <c r="G9" i="1" s="1"/>
  <c r="F19" i="4"/>
  <c r="F8" i="1"/>
  <c r="G8" i="1" s="1"/>
  <c r="E19" i="4"/>
  <c r="F7" i="1"/>
  <c r="G7" i="1" s="1"/>
  <c r="B2" i="52"/>
  <c r="E22" i="52" s="1"/>
  <c r="I2" i="46"/>
  <c r="N12" i="46" s="1"/>
  <c r="A7" i="46"/>
  <c r="F41" i="4"/>
  <c r="J52" i="40" s="1"/>
  <c r="H61" i="49"/>
  <c r="H39" i="46"/>
  <c r="H38" i="46"/>
  <c r="H37" i="46"/>
  <c r="H36" i="46"/>
  <c r="H35" i="46"/>
  <c r="H34" i="46"/>
  <c r="H33" i="46"/>
  <c r="J20" i="46"/>
  <c r="C18" i="46"/>
  <c r="F15" i="46"/>
  <c r="E15" i="46"/>
  <c r="D15" i="46"/>
  <c r="C15" i="46"/>
  <c r="C10" i="46"/>
  <c r="C11" i="46" s="1"/>
  <c r="C9" i="46"/>
  <c r="E32" i="6"/>
  <c r="E24" i="6"/>
  <c r="E25" i="6"/>
  <c r="E26" i="6"/>
  <c r="D38" i="4"/>
  <c r="C39" i="4" s="1"/>
  <c r="C35" i="4"/>
  <c r="E16" i="12"/>
  <c r="F14" i="12"/>
  <c r="F15" i="12"/>
  <c r="F17" i="12"/>
  <c r="E19" i="12"/>
  <c r="E21" i="12"/>
  <c r="E22" i="12"/>
  <c r="F23" i="12"/>
  <c r="F24" i="12"/>
  <c r="F25" i="12"/>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c r="H14" i="3"/>
  <c r="AC14" i="3"/>
  <c r="G14" i="3" s="1"/>
  <c r="H15" i="3"/>
  <c r="AC15" i="3"/>
  <c r="G15" i="3" s="1"/>
  <c r="H16" i="3"/>
  <c r="G16" i="3" s="1"/>
  <c r="AC16" i="3"/>
  <c r="H17" i="3"/>
  <c r="G17" i="3" s="1"/>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A20" i="3" s="1"/>
  <c r="AZ20" i="3" s="1"/>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G483" i="3" s="1"/>
  <c r="BB483" i="3"/>
  <c r="BC483" i="3"/>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G485" i="3" s="1"/>
  <c r="AC485" i="3"/>
  <c r="BB485" i="3"/>
  <c r="BA485" i="3" s="1"/>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L486" i="3" s="1"/>
  <c r="AZ486" i="3" s="1"/>
  <c r="BN486" i="3"/>
  <c r="BO486" i="3"/>
  <c r="BP486" i="3"/>
  <c r="BR486" i="3"/>
  <c r="BS486" i="3"/>
  <c r="BT486" i="3"/>
  <c r="H487" i="3"/>
  <c r="AC487" i="3"/>
  <c r="G487" i="3" s="1"/>
  <c r="BB487" i="3"/>
  <c r="BA487" i="3" s="1"/>
  <c r="BC487" i="3"/>
  <c r="BD487" i="3"/>
  <c r="BE487" i="3"/>
  <c r="BF487" i="3"/>
  <c r="BG487" i="3"/>
  <c r="BH487" i="3"/>
  <c r="BI487" i="3"/>
  <c r="BJ487" i="3"/>
  <c r="BK487" i="3"/>
  <c r="BM487" i="3"/>
  <c r="BN487" i="3"/>
  <c r="BO487" i="3"/>
  <c r="BP487" i="3"/>
  <c r="BQ487" i="3"/>
  <c r="BR487" i="3"/>
  <c r="BS487" i="3"/>
  <c r="BT487" i="3"/>
  <c r="H488" i="3"/>
  <c r="G488" i="3" s="1"/>
  <c r="AC488" i="3"/>
  <c r="BB488" i="3"/>
  <c r="BA488" i="3" s="1"/>
  <c r="AZ488" i="3" s="1"/>
  <c r="BC488" i="3"/>
  <c r="BD488" i="3"/>
  <c r="BE488" i="3"/>
  <c r="BF488" i="3"/>
  <c r="BG488" i="3"/>
  <c r="BH488" i="3"/>
  <c r="BI488" i="3"/>
  <c r="BJ488" i="3"/>
  <c r="BK488" i="3"/>
  <c r="BM488" i="3"/>
  <c r="BN488" i="3"/>
  <c r="BO488" i="3"/>
  <c r="BP488" i="3"/>
  <c r="BR488" i="3"/>
  <c r="BS488" i="3"/>
  <c r="BT488" i="3"/>
  <c r="H489" i="3"/>
  <c r="AC489" i="3"/>
  <c r="BB489" i="3"/>
  <c r="BC489" i="3"/>
  <c r="BA489" i="3" s="1"/>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G491" i="3" s="1"/>
  <c r="BB491" i="3"/>
  <c r="BC491" i="3"/>
  <c r="BD491" i="3"/>
  <c r="BE491" i="3"/>
  <c r="BF491" i="3"/>
  <c r="BG491" i="3"/>
  <c r="BH491" i="3"/>
  <c r="BI491" i="3"/>
  <c r="BJ491" i="3"/>
  <c r="BK491" i="3"/>
  <c r="BM491" i="3"/>
  <c r="BN491" i="3"/>
  <c r="BO491" i="3"/>
  <c r="BP491" i="3"/>
  <c r="BQ491" i="3"/>
  <c r="BR491" i="3"/>
  <c r="BS491" i="3"/>
  <c r="BT491" i="3"/>
  <c r="H492" i="3"/>
  <c r="AC492" i="3"/>
  <c r="G492" i="3" s="1"/>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G494" i="3" s="1"/>
  <c r="BB494" i="3"/>
  <c r="BC494" i="3"/>
  <c r="BD494" i="3"/>
  <c r="BE494" i="3"/>
  <c r="BF494" i="3"/>
  <c r="BG494" i="3"/>
  <c r="BH494" i="3"/>
  <c r="BI494" i="3"/>
  <c r="BJ494" i="3"/>
  <c r="BK494" i="3"/>
  <c r="BM494" i="3"/>
  <c r="BN494" i="3"/>
  <c r="BO494" i="3"/>
  <c r="BP494" i="3"/>
  <c r="BR494" i="3"/>
  <c r="BS494" i="3"/>
  <c r="BT494" i="3"/>
  <c r="H495" i="3"/>
  <c r="G495" i="3" s="1"/>
  <c r="AC495" i="3"/>
  <c r="BB495" i="3"/>
  <c r="BA495" i="3" s="1"/>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L496" i="3" s="1"/>
  <c r="BN496" i="3"/>
  <c r="BO496" i="3"/>
  <c r="BP496" i="3"/>
  <c r="BR496" i="3"/>
  <c r="BS496" i="3"/>
  <c r="BT496" i="3"/>
  <c r="H497" i="3"/>
  <c r="AC497" i="3"/>
  <c r="G497" i="3" s="1"/>
  <c r="BB497" i="3"/>
  <c r="BC497" i="3"/>
  <c r="BD497" i="3"/>
  <c r="BE497" i="3"/>
  <c r="BF497" i="3"/>
  <c r="BG497" i="3"/>
  <c r="BH497" i="3"/>
  <c r="BI497" i="3"/>
  <c r="BJ497" i="3"/>
  <c r="BK497" i="3"/>
  <c r="BM497" i="3"/>
  <c r="BL497" i="3" s="1"/>
  <c r="BN497" i="3"/>
  <c r="BO497" i="3"/>
  <c r="BP497" i="3"/>
  <c r="BQ497" i="3"/>
  <c r="BR497" i="3"/>
  <c r="BS497" i="3"/>
  <c r="BT497" i="3"/>
  <c r="H498" i="3"/>
  <c r="AC498" i="3"/>
  <c r="BB498" i="3"/>
  <c r="BC498" i="3"/>
  <c r="BD498" i="3"/>
  <c r="BE498" i="3"/>
  <c r="BF498" i="3"/>
  <c r="BG498" i="3"/>
  <c r="BH498" i="3"/>
  <c r="BI498" i="3"/>
  <c r="BJ498" i="3"/>
  <c r="BK498" i="3"/>
  <c r="BM498" i="3"/>
  <c r="BL498" i="3" s="1"/>
  <c r="AZ498" i="3" s="1"/>
  <c r="BN498" i="3"/>
  <c r="BO498" i="3"/>
  <c r="BP498" i="3"/>
  <c r="BR498" i="3"/>
  <c r="BS498" i="3"/>
  <c r="BT498" i="3"/>
  <c r="H499" i="3"/>
  <c r="AC499" i="3"/>
  <c r="BB499" i="3"/>
  <c r="BC499" i="3"/>
  <c r="BA499" i="3" s="1"/>
  <c r="AZ499" i="3" s="1"/>
  <c r="BD499" i="3"/>
  <c r="BE499" i="3"/>
  <c r="BF499" i="3"/>
  <c r="BG499" i="3"/>
  <c r="BH499" i="3"/>
  <c r="BI499" i="3"/>
  <c r="BJ499" i="3"/>
  <c r="BK499" i="3"/>
  <c r="BM499" i="3"/>
  <c r="BN499" i="3"/>
  <c r="BO499" i="3"/>
  <c r="BP499" i="3"/>
  <c r="BQ499" i="3"/>
  <c r="BR499" i="3"/>
  <c r="BS499" i="3"/>
  <c r="BT499" i="3"/>
  <c r="H500" i="3"/>
  <c r="AC500" i="3"/>
  <c r="BB500" i="3"/>
  <c r="BC500" i="3"/>
  <c r="BA500" i="3" s="1"/>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A502" i="3" s="1"/>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L504" i="3" s="1"/>
  <c r="AZ504" i="3" s="1"/>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A506" i="3" s="1"/>
  <c r="AZ506" i="3" s="1"/>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L507" i="3" s="1"/>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G510" i="3" s="1"/>
  <c r="AC510" i="3"/>
  <c r="BB510" i="3"/>
  <c r="BA510" i="3" s="1"/>
  <c r="AZ510" i="3" s="1"/>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A513" i="3" s="1"/>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L517" i="3" s="1"/>
  <c r="BO517" i="3"/>
  <c r="BP517" i="3"/>
  <c r="BQ517" i="3"/>
  <c r="BR517" i="3"/>
  <c r="BS517" i="3"/>
  <c r="BT517" i="3"/>
  <c r="H518" i="3"/>
  <c r="AC518" i="3"/>
  <c r="BB518" i="3"/>
  <c r="BC518" i="3"/>
  <c r="BD518" i="3"/>
  <c r="BE518" i="3"/>
  <c r="BF518" i="3"/>
  <c r="BG518" i="3"/>
  <c r="BH518" i="3"/>
  <c r="BI518" i="3"/>
  <c r="BJ518" i="3"/>
  <c r="BK518" i="3"/>
  <c r="BM518" i="3"/>
  <c r="BN518" i="3"/>
  <c r="BL518" i="3" s="1"/>
  <c r="BO518" i="3"/>
  <c r="BP518" i="3"/>
  <c r="BR518" i="3"/>
  <c r="BS518" i="3"/>
  <c r="BT518" i="3"/>
  <c r="H519" i="3"/>
  <c r="G519" i="3" s="1"/>
  <c r="AC519" i="3"/>
  <c r="BB519" i="3"/>
  <c r="BC519" i="3"/>
  <c r="BA519" i="3" s="1"/>
  <c r="AZ519" i="3" s="1"/>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A525" i="3" s="1"/>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A527" i="3" s="1"/>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A531" i="3" s="1"/>
  <c r="AZ531" i="3" s="1"/>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L533" i="3" s="1"/>
  <c r="BN533" i="3"/>
  <c r="BO533" i="3"/>
  <c r="BP533" i="3"/>
  <c r="BQ533" i="3"/>
  <c r="BR533" i="3"/>
  <c r="BS533" i="3"/>
  <c r="BT533" i="3"/>
  <c r="H534" i="3"/>
  <c r="AC534" i="3"/>
  <c r="BB534" i="3"/>
  <c r="BA534" i="3" s="1"/>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A540" i="3" s="1"/>
  <c r="AZ540" i="3" s="1"/>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L543" i="3" s="1"/>
  <c r="BN543" i="3"/>
  <c r="BO543" i="3"/>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L548" i="3" s="1"/>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L552" i="3" s="1"/>
  <c r="BO552" i="3"/>
  <c r="BP552" i="3"/>
  <c r="BR552" i="3"/>
  <c r="BS552" i="3"/>
  <c r="BT552" i="3"/>
  <c r="H553" i="3"/>
  <c r="G553" i="3" s="1"/>
  <c r="AC553" i="3"/>
  <c r="BB553" i="3"/>
  <c r="BC553" i="3"/>
  <c r="BA553" i="3" s="1"/>
  <c r="BD553" i="3"/>
  <c r="BE553" i="3"/>
  <c r="BF553" i="3"/>
  <c r="BG553" i="3"/>
  <c r="BH553" i="3"/>
  <c r="BI553" i="3"/>
  <c r="BJ553" i="3"/>
  <c r="BK553" i="3"/>
  <c r="BM553" i="3"/>
  <c r="BN553" i="3"/>
  <c r="BL553" i="3" s="1"/>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A555" i="3" s="1"/>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A563" i="3" s="1"/>
  <c r="AZ563" i="3" s="1"/>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A566" i="3" s="1"/>
  <c r="BD566" i="3"/>
  <c r="BE566" i="3"/>
  <c r="BF566" i="3"/>
  <c r="BG566" i="3"/>
  <c r="BH566" i="3"/>
  <c r="BI566" i="3"/>
  <c r="BJ566" i="3"/>
  <c r="BK566" i="3"/>
  <c r="BM566" i="3"/>
  <c r="BN566" i="3"/>
  <c r="BL566" i="3" s="1"/>
  <c r="BO566" i="3"/>
  <c r="BP566" i="3"/>
  <c r="BR566" i="3"/>
  <c r="BS566" i="3"/>
  <c r="BT566" i="3"/>
  <c r="H567" i="3"/>
  <c r="AC567" i="3"/>
  <c r="BB567" i="3"/>
  <c r="BC567" i="3"/>
  <c r="BD567" i="3"/>
  <c r="BE567" i="3"/>
  <c r="BF567" i="3"/>
  <c r="BG567" i="3"/>
  <c r="BH567" i="3"/>
  <c r="BI567" i="3"/>
  <c r="BJ567" i="3"/>
  <c r="BK567" i="3"/>
  <c r="BM567" i="3"/>
  <c r="BL567" i="3" s="1"/>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S37" i="39" s="1"/>
  <c r="B114" i="39"/>
  <c r="J30" i="36"/>
  <c r="W30" i="36" s="1"/>
  <c r="H30" i="36"/>
  <c r="U30" i="36" s="1"/>
  <c r="F30" i="36"/>
  <c r="AA30" i="36" s="1"/>
  <c r="C26" i="35"/>
  <c r="C79" i="35" s="1"/>
  <c r="J31" i="35"/>
  <c r="AC31" i="35" s="1"/>
  <c r="H31" i="35"/>
  <c r="F31" i="35"/>
  <c r="D87" i="35"/>
  <c r="E87" i="35"/>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U42" i="34" s="1"/>
  <c r="J42" i="34"/>
  <c r="F42" i="34"/>
  <c r="S42" i="34" s="1"/>
  <c r="J38" i="34"/>
  <c r="AC38" i="34" s="1"/>
  <c r="D114" i="34"/>
  <c r="F38" i="34"/>
  <c r="D112" i="34"/>
  <c r="E112" i="34" s="1"/>
  <c r="F112" i="34" s="1"/>
  <c r="G112" i="34" s="1"/>
  <c r="H112" i="34" s="1"/>
  <c r="I112" i="34" s="1"/>
  <c r="J112" i="34" s="1"/>
  <c r="K112" i="34" s="1"/>
  <c r="L112" i="34" s="1"/>
  <c r="M112" i="34" s="1"/>
  <c r="F40" i="33"/>
  <c r="J41" i="33"/>
  <c r="D113" i="33"/>
  <c r="E113" i="33" s="1"/>
  <c r="F113" i="33" s="1"/>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D78" i="40"/>
  <c r="F13" i="40"/>
  <c r="S13" i="40" s="1"/>
  <c r="B122" i="40"/>
  <c r="B120" i="40"/>
  <c r="H41" i="40" s="1"/>
  <c r="B118" i="40"/>
  <c r="F40" i="40" s="1"/>
  <c r="AA40" i="40"/>
  <c r="D117" i="40"/>
  <c r="E117" i="40"/>
  <c r="F117" i="40" s="1"/>
  <c r="G117" i="40" s="1"/>
  <c r="H117" i="40" s="1"/>
  <c r="I117" i="40" s="1"/>
  <c r="J117" i="40" s="1"/>
  <c r="K117" i="40" s="1"/>
  <c r="L117" i="40" s="1"/>
  <c r="M117" i="40" s="1"/>
  <c r="D115" i="40"/>
  <c r="J38" i="40"/>
  <c r="AC38" i="40" s="1"/>
  <c r="E115" i="40"/>
  <c r="F115" i="40" s="1"/>
  <c r="G115" i="40"/>
  <c r="H115" i="40" s="1"/>
  <c r="I115" i="40" s="1"/>
  <c r="J115" i="40" s="1"/>
  <c r="K115" i="40" s="1"/>
  <c r="L115" i="40" s="1"/>
  <c r="M115" i="40" s="1"/>
  <c r="H38" i="40"/>
  <c r="AB38" i="40"/>
  <c r="D113" i="40"/>
  <c r="E113" i="40"/>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H29" i="40" s="1"/>
  <c r="U29" i="40" s="1"/>
  <c r="D94" i="40"/>
  <c r="D92" i="40"/>
  <c r="E92" i="40" s="1"/>
  <c r="F92" i="40" s="1"/>
  <c r="G92" i="40" s="1"/>
  <c r="D90" i="40"/>
  <c r="H21" i="40"/>
  <c r="AB21" i="40" s="1"/>
  <c r="D88" i="40"/>
  <c r="E88" i="40" s="1"/>
  <c r="D86" i="40"/>
  <c r="E86" i="40" s="1"/>
  <c r="F86" i="40" s="1"/>
  <c r="G86" i="40" s="1"/>
  <c r="J17" i="40"/>
  <c r="B83" i="40"/>
  <c r="F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F39" i="39" s="1"/>
  <c r="D111" i="39"/>
  <c r="E111" i="39" s="1"/>
  <c r="F111" i="39"/>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F47" i="39" s="1"/>
  <c r="B131" i="39"/>
  <c r="H46" i="39" s="1"/>
  <c r="B129" i="39"/>
  <c r="H45" i="39" s="1"/>
  <c r="D128" i="39"/>
  <c r="H44" i="39" s="1"/>
  <c r="D124" i="39"/>
  <c r="E124" i="39" s="1"/>
  <c r="F124" i="39" s="1"/>
  <c r="G124" i="39" s="1"/>
  <c r="H124" i="39" s="1"/>
  <c r="I124" i="39" s="1"/>
  <c r="J124" i="39" s="1"/>
  <c r="K124" i="39" s="1"/>
  <c r="L124" i="39" s="1"/>
  <c r="M124" i="39" s="1"/>
  <c r="B106" i="39"/>
  <c r="F33" i="39" s="1"/>
  <c r="D99" i="39"/>
  <c r="E99" i="39" s="1"/>
  <c r="F99" i="39" s="1"/>
  <c r="G99" i="39" s="1"/>
  <c r="D97" i="39"/>
  <c r="D95" i="39"/>
  <c r="E95" i="39" s="1"/>
  <c r="F95" i="39" s="1"/>
  <c r="G95" i="39" s="1"/>
  <c r="D93" i="39"/>
  <c r="E93" i="39" s="1"/>
  <c r="F93" i="39" s="1"/>
  <c r="G93" i="39" s="1"/>
  <c r="D91" i="39"/>
  <c r="E91" i="39" s="1"/>
  <c r="F91" i="39" s="1"/>
  <c r="G91" i="39" s="1"/>
  <c r="B88" i="39"/>
  <c r="H16" i="39" s="1"/>
  <c r="B86" i="39"/>
  <c r="B84" i="39"/>
  <c r="F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AB36" i="37" s="1"/>
  <c r="D103" i="37"/>
  <c r="J35" i="37"/>
  <c r="AC35" i="37" s="1"/>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H27" i="37" s="1"/>
  <c r="B82" i="37"/>
  <c r="D79" i="37"/>
  <c r="E79" i="37"/>
  <c r="F79" i="37" s="1"/>
  <c r="G79" i="37" s="1"/>
  <c r="D75" i="37"/>
  <c r="E75" i="37"/>
  <c r="F75" i="37" s="1"/>
  <c r="G75" i="37" s="1"/>
  <c r="D73" i="37"/>
  <c r="E73" i="37" s="1"/>
  <c r="F73" i="37"/>
  <c r="G73" i="37" s="1"/>
  <c r="D71" i="37"/>
  <c r="E71" i="37" s="1"/>
  <c r="F71" i="37"/>
  <c r="G71" i="37" s="1"/>
  <c r="F15" i="37"/>
  <c r="AA15" i="37" s="1"/>
  <c r="B68" i="37"/>
  <c r="B66" i="37"/>
  <c r="B64" i="37"/>
  <c r="J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F30" i="37"/>
  <c r="S30" i="37" s="1"/>
  <c r="Q29" i="37"/>
  <c r="Z29" i="37"/>
  <c r="H29" i="37"/>
  <c r="U29" i="37"/>
  <c r="Q28" i="37"/>
  <c r="Z28" i="37"/>
  <c r="Q27" i="37"/>
  <c r="Z27" i="37"/>
  <c r="Q26" i="37"/>
  <c r="Z26" i="37"/>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AA8" i="37" s="1"/>
  <c r="C7"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B91" i="36"/>
  <c r="F32" i="36"/>
  <c r="S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J26" i="36"/>
  <c r="W26" i="36"/>
  <c r="B75" i="36"/>
  <c r="B73" i="36"/>
  <c r="B71" i="36"/>
  <c r="D70" i="36"/>
  <c r="H22" i="36"/>
  <c r="AB22" i="36"/>
  <c r="D68" i="36"/>
  <c r="E68" i="36"/>
  <c r="F68" i="36" s="1"/>
  <c r="G68" i="36" s="1"/>
  <c r="D64" i="36"/>
  <c r="E64" i="36"/>
  <c r="F64" i="36" s="1"/>
  <c r="G64" i="36" s="1"/>
  <c r="J16" i="36"/>
  <c r="W16" i="36" s="1"/>
  <c r="D62" i="36"/>
  <c r="E62" i="36" s="1"/>
  <c r="F62" i="36" s="1"/>
  <c r="B59" i="36"/>
  <c r="B57" i="36"/>
  <c r="J12" i="36"/>
  <c r="AC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D89" i="35"/>
  <c r="E89" i="35" s="1"/>
  <c r="F89" i="35" s="1"/>
  <c r="H30" i="35"/>
  <c r="U30" i="35" s="1"/>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B77" i="35"/>
  <c r="B75" i="35"/>
  <c r="J24" i="35"/>
  <c r="AC24" i="35" s="1"/>
  <c r="B73" i="35"/>
  <c r="B57" i="35"/>
  <c r="J11" i="35" s="1"/>
  <c r="B61" i="35"/>
  <c r="B59" i="35"/>
  <c r="H12" i="35" s="1"/>
  <c r="B131" i="34"/>
  <c r="B129" i="34"/>
  <c r="B127" i="34"/>
  <c r="B99" i="34"/>
  <c r="B97" i="34"/>
  <c r="B95" i="34"/>
  <c r="B93" i="34"/>
  <c r="B75" i="34"/>
  <c r="B73" i="34"/>
  <c r="B71" i="34"/>
  <c r="B130" i="33"/>
  <c r="B128" i="33"/>
  <c r="B126" i="33"/>
  <c r="B98" i="33"/>
  <c r="B96" i="33"/>
  <c r="H30" i="33" s="1"/>
  <c r="B94" i="33"/>
  <c r="B74" i="33"/>
  <c r="F14" i="33" s="1"/>
  <c r="B72" i="33"/>
  <c r="B70"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D72" i="35"/>
  <c r="E72" i="35" s="1"/>
  <c r="D70" i="35"/>
  <c r="E70" i="35" s="1"/>
  <c r="F70" i="35" s="1"/>
  <c r="G70" i="35" s="1"/>
  <c r="D66" i="35"/>
  <c r="E66" i="35" s="1"/>
  <c r="F66" i="35" s="1"/>
  <c r="G66" i="35" s="1"/>
  <c r="D64" i="35"/>
  <c r="E64" i="35"/>
  <c r="F64" i="35" s="1"/>
  <c r="G64" i="35" s="1"/>
  <c r="F56" i="35"/>
  <c r="G56" i="35"/>
  <c r="H56" i="35" s="1"/>
  <c r="I56" i="35" s="1"/>
  <c r="C53" i="35"/>
  <c r="H9" i="35" s="1"/>
  <c r="P39" i="35"/>
  <c r="P38" i="35"/>
  <c r="V37" i="35"/>
  <c r="T37" i="35"/>
  <c r="R37" i="35"/>
  <c r="P37" i="35"/>
  <c r="Q36" i="35"/>
  <c r="Z36" i="35" s="1"/>
  <c r="J36" i="35"/>
  <c r="Q35" i="35"/>
  <c r="Z35" i="35" s="1"/>
  <c r="Q34" i="35"/>
  <c r="Z34" i="35" s="1"/>
  <c r="J34" i="35"/>
  <c r="AC34" i="35" s="1"/>
  <c r="H34" i="35"/>
  <c r="F34" i="35"/>
  <c r="AA34" i="35" s="1"/>
  <c r="Q33" i="35"/>
  <c r="Z33" i="35" s="1"/>
  <c r="Q32" i="35"/>
  <c r="Z32" i="35" s="1"/>
  <c r="H32" i="35"/>
  <c r="AB32" i="35" s="1"/>
  <c r="F32" i="35"/>
  <c r="AA32" i="35" s="1"/>
  <c r="Q31" i="35"/>
  <c r="Z31" i="35" s="1"/>
  <c r="AB31" i="35"/>
  <c r="Q30" i="35"/>
  <c r="Z30" i="35"/>
  <c r="Q29" i="35"/>
  <c r="Z29" i="35"/>
  <c r="Q28" i="35"/>
  <c r="Z28" i="35"/>
  <c r="J28" i="35"/>
  <c r="H28" i="35"/>
  <c r="U28" i="35" s="1"/>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H8" i="35"/>
  <c r="AB8" i="35" s="1"/>
  <c r="F8" i="35"/>
  <c r="AA8" i="35"/>
  <c r="C7"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AC43" i="34" s="1"/>
  <c r="D118" i="34"/>
  <c r="E118" i="34" s="1"/>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D92" i="34"/>
  <c r="E92" i="34" s="1"/>
  <c r="F92" i="34" s="1"/>
  <c r="G92" i="34" s="1"/>
  <c r="H92" i="34" s="1"/>
  <c r="I92" i="34" s="1"/>
  <c r="J92" i="34" s="1"/>
  <c r="K92" i="34" s="1"/>
  <c r="L92" i="34" s="1"/>
  <c r="M92" i="34" s="1"/>
  <c r="B91" i="34"/>
  <c r="H28" i="34" s="1"/>
  <c r="B89" i="34"/>
  <c r="J27" i="34"/>
  <c r="AC27" i="34" s="1"/>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J8" i="34"/>
  <c r="H8" i="34"/>
  <c r="U8" i="34" s="1"/>
  <c r="F8" i="34"/>
  <c r="AA8" i="34" s="1"/>
  <c r="C7" i="34"/>
  <c r="C59" i="34" s="1"/>
  <c r="D59"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D117" i="33"/>
  <c r="E117" i="33" s="1"/>
  <c r="F117" i="33" s="1"/>
  <c r="G117" i="33" s="1"/>
  <c r="D115" i="33"/>
  <c r="E115" i="33" s="1"/>
  <c r="F115" i="33" s="1"/>
  <c r="G115" i="33" s="1"/>
  <c r="H115" i="33"/>
  <c r="I115" i="33" s="1"/>
  <c r="J115" i="33" s="1"/>
  <c r="K115" i="33" s="1"/>
  <c r="L115" i="33" s="1"/>
  <c r="M115" i="33" s="1"/>
  <c r="D108" i="33"/>
  <c r="E108" i="33" s="1"/>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AB28" i="33" s="1"/>
  <c r="B90" i="33"/>
  <c r="H27" i="33"/>
  <c r="D87" i="33"/>
  <c r="E87" i="33" s="1"/>
  <c r="F87" i="33" s="1"/>
  <c r="D85" i="33"/>
  <c r="E85" i="33" s="1"/>
  <c r="F85" i="33" s="1"/>
  <c r="G85" i="33" s="1"/>
  <c r="D81" i="33"/>
  <c r="E81" i="33" s="1"/>
  <c r="F81" i="33" s="1"/>
  <c r="G81" i="33" s="1"/>
  <c r="D79" i="33"/>
  <c r="E79" i="33" s="1"/>
  <c r="F79" i="33" s="1"/>
  <c r="G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U8" i="33" s="1"/>
  <c r="F8" i="33"/>
  <c r="AA8" i="33" s="1"/>
  <c r="C7" i="33"/>
  <c r="C58" i="33" s="1"/>
  <c r="M102" i="21"/>
  <c r="D102" i="21"/>
  <c r="E102" i="21"/>
  <c r="F102" i="21"/>
  <c r="G102" i="21"/>
  <c r="H102" i="21"/>
  <c r="I102" i="21"/>
  <c r="J102" i="21"/>
  <c r="K102" i="21"/>
  <c r="L102" i="21"/>
  <c r="C102" i="21"/>
  <c r="C63" i="21"/>
  <c r="G18" i="20"/>
  <c r="B87" i="46" s="1"/>
  <c r="C25" i="40"/>
  <c r="G16" i="20"/>
  <c r="B81" i="46" s="1"/>
  <c r="G15" i="20"/>
  <c r="B80" i="46" s="1"/>
  <c r="C24" i="20"/>
  <c r="B72" i="46" s="1"/>
  <c r="C21" i="20"/>
  <c r="C20" i="20"/>
  <c r="B76" i="46" s="1"/>
  <c r="C18" i="20"/>
  <c r="C17" i="20"/>
  <c r="B58" i="46" s="1"/>
  <c r="C16" i="20"/>
  <c r="C15" i="20"/>
  <c r="B69" i="46" s="1"/>
  <c r="E54" i="21"/>
  <c r="F54" i="21" s="1"/>
  <c r="I54" i="21"/>
  <c r="J54" i="21" s="1"/>
  <c r="G54" i="21"/>
  <c r="H54" i="21" s="1"/>
  <c r="D125" i="21"/>
  <c r="E125" i="21" s="1"/>
  <c r="F125" i="21" s="1"/>
  <c r="D123" i="21"/>
  <c r="E123" i="21" s="1"/>
  <c r="F123" i="21" s="1"/>
  <c r="G123" i="21" s="1"/>
  <c r="H123" i="21" s="1"/>
  <c r="I123" i="21" s="1"/>
  <c r="J123" i="21" s="1"/>
  <c r="K123" i="21" s="1"/>
  <c r="L123" i="21" s="1"/>
  <c r="M123" i="21" s="1"/>
  <c r="H42" i="21"/>
  <c r="AB42" i="21" s="1"/>
  <c r="D119"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c r="I106" i="21" s="1"/>
  <c r="J106" i="21" s="1"/>
  <c r="K106" i="21" s="1"/>
  <c r="L106" i="21" s="1"/>
  <c r="M106" i="21" s="1"/>
  <c r="D101" i="21"/>
  <c r="E101" i="21" s="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E85" i="21"/>
  <c r="D81" i="21"/>
  <c r="E81" i="21"/>
  <c r="F81" i="21" s="1"/>
  <c r="G81" i="21" s="1"/>
  <c r="D77" i="21"/>
  <c r="E77" i="21"/>
  <c r="B130" i="21"/>
  <c r="B128" i="21"/>
  <c r="B126" i="21"/>
  <c r="B98" i="21"/>
  <c r="B96" i="21"/>
  <c r="B94" i="21"/>
  <c r="B92" i="21"/>
  <c r="B90" i="21"/>
  <c r="B74" i="21"/>
  <c r="B72" i="21"/>
  <c r="B70" i="21"/>
  <c r="F12" i="21"/>
  <c r="AA12" i="21" s="1"/>
  <c r="F10" i="21"/>
  <c r="AA10" i="21"/>
  <c r="C7" i="21"/>
  <c r="C58" i="21" s="1"/>
  <c r="D58" i="21" s="1"/>
  <c r="E58" i="21" s="1"/>
  <c r="F58" i="21" s="1"/>
  <c r="G58" i="21" s="1"/>
  <c r="H58" i="21" s="1"/>
  <c r="I58" i="21" s="1"/>
  <c r="J58" i="21" s="1"/>
  <c r="K58" i="21" s="1"/>
  <c r="L58" i="21" s="1"/>
  <c r="M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K5" i="3"/>
  <c r="F20" i="6" s="1"/>
  <c r="E20" i="6" s="1"/>
  <c r="D9" i="12" s="1"/>
  <c r="J5" i="3"/>
  <c r="BE10" i="3"/>
  <c r="BD13" i="3"/>
  <c r="BE13" i="3"/>
  <c r="BF13" i="3"/>
  <c r="BF5" i="3"/>
  <c r="BG13" i="3"/>
  <c r="BH13" i="3"/>
  <c r="BI13" i="3"/>
  <c r="BJ13" i="3"/>
  <c r="BK13" i="3"/>
  <c r="BM13" i="3"/>
  <c r="BN13" i="3"/>
  <c r="BO13" i="3"/>
  <c r="BP13" i="3"/>
  <c r="BS13" i="3"/>
  <c r="BT13" i="3"/>
  <c r="BB570" i="3"/>
  <c r="BC570" i="3"/>
  <c r="BD570" i="3"/>
  <c r="BE570" i="3"/>
  <c r="BF570" i="3"/>
  <c r="BG570" i="3"/>
  <c r="BG5" i="3" s="1"/>
  <c r="BH570" i="3"/>
  <c r="BI570" i="3"/>
  <c r="BJ570" i="3"/>
  <c r="BK570" i="3"/>
  <c r="BM570" i="3"/>
  <c r="BN570" i="3"/>
  <c r="BL570" i="3" s="1"/>
  <c r="BO570" i="3"/>
  <c r="BP570" i="3"/>
  <c r="BQ570" i="3"/>
  <c r="BR570" i="3"/>
  <c r="BS570" i="3"/>
  <c r="BT570" i="3"/>
  <c r="BB571" i="3"/>
  <c r="BC571" i="3"/>
  <c r="BA571" i="3" s="1"/>
  <c r="AZ571" i="3" s="1"/>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C9" i="12" s="1"/>
  <c r="L5" i="3"/>
  <c r="M5" i="3"/>
  <c r="F21" i="6" s="1"/>
  <c r="E21" i="6" s="1"/>
  <c r="K8" i="1" s="1"/>
  <c r="M8" i="1" s="1"/>
  <c r="O8" i="1" s="1"/>
  <c r="P8" i="1" s="1"/>
  <c r="N5" i="3"/>
  <c r="O5" i="3"/>
  <c r="G22" i="6" s="1"/>
  <c r="E59" i="39" s="1"/>
  <c r="P5" i="3"/>
  <c r="Q5" i="3"/>
  <c r="G23" i="6" s="1"/>
  <c r="E23" i="6" s="1"/>
  <c r="G9" i="12" s="1"/>
  <c r="R5" i="3"/>
  <c r="S5" i="3"/>
  <c r="T5" i="3"/>
  <c r="U5" i="3"/>
  <c r="V5" i="3"/>
  <c r="W5" i="3"/>
  <c r="X5" i="3"/>
  <c r="Y5" i="3"/>
  <c r="Z5" i="3"/>
  <c r="AA5" i="3"/>
  <c r="AB5" i="3"/>
  <c r="H570" i="3"/>
  <c r="G570" i="3" s="1"/>
  <c r="H571" i="3"/>
  <c r="G571" i="3" s="1"/>
  <c r="H572" i="3"/>
  <c r="G572" i="3" s="1"/>
  <c r="F5" i="3"/>
  <c r="F34" i="21"/>
  <c r="AA34" i="21" s="1"/>
  <c r="H34" i="21"/>
  <c r="U34" i="21" s="1"/>
  <c r="F43" i="21"/>
  <c r="S43" i="21" s="1"/>
  <c r="H38" i="21"/>
  <c r="AB38" i="21" s="1"/>
  <c r="H43" i="21"/>
  <c r="AB43" i="21" s="1"/>
  <c r="F32" i="21"/>
  <c r="S32" i="21" s="1"/>
  <c r="F38" i="21"/>
  <c r="F36" i="21"/>
  <c r="S36" i="21" s="1"/>
  <c r="F39" i="21"/>
  <c r="AA39" i="21" s="1"/>
  <c r="J40" i="21"/>
  <c r="H35" i="21"/>
  <c r="J8" i="21"/>
  <c r="J9" i="21"/>
  <c r="H8" i="21"/>
  <c r="U8" i="21" s="1"/>
  <c r="H10" i="21"/>
  <c r="U10" i="21"/>
  <c r="H39" i="21"/>
  <c r="AB39" i="21"/>
  <c r="J34" i="21"/>
  <c r="W34" i="21"/>
  <c r="H36" i="21"/>
  <c r="U36" i="21"/>
  <c r="F35" i="21"/>
  <c r="AA35" i="21"/>
  <c r="J33" i="21"/>
  <c r="W33" i="21"/>
  <c r="H33" i="21"/>
  <c r="U33" i="21"/>
  <c r="F33" i="21"/>
  <c r="J10" i="21"/>
  <c r="H26" i="21"/>
  <c r="F19" i="21"/>
  <c r="AA19" i="21" s="1"/>
  <c r="H19" i="21"/>
  <c r="AB19" i="21" s="1"/>
  <c r="J19" i="21"/>
  <c r="W19" i="21" s="1"/>
  <c r="J12" i="21"/>
  <c r="W12" i="21" s="1"/>
  <c r="H12" i="21"/>
  <c r="U12" i="21" s="1"/>
  <c r="J26" i="21"/>
  <c r="F26" i="21"/>
  <c r="AA26" i="21" s="1"/>
  <c r="AB41" i="21"/>
  <c r="AA41" i="21"/>
  <c r="W41" i="21"/>
  <c r="S10" i="39"/>
  <c r="E103" i="37"/>
  <c r="F103" i="37" s="1"/>
  <c r="G103" i="37" s="1"/>
  <c r="H103" i="37" s="1"/>
  <c r="I103" i="37" s="1"/>
  <c r="J103" i="37" s="1"/>
  <c r="K103" i="37" s="1"/>
  <c r="L103" i="37" s="1"/>
  <c r="M103" i="37" s="1"/>
  <c r="F29" i="36"/>
  <c r="AA29" i="36"/>
  <c r="F16" i="36"/>
  <c r="AA16" i="36"/>
  <c r="U22" i="36"/>
  <c r="W23" i="36"/>
  <c r="U26" i="36"/>
  <c r="AC27" i="35"/>
  <c r="U31" i="35"/>
  <c r="S34" i="35"/>
  <c r="W31" i="35"/>
  <c r="F36" i="34"/>
  <c r="S36" i="34" s="1"/>
  <c r="W9" i="34"/>
  <c r="W39" i="34"/>
  <c r="H39" i="33"/>
  <c r="AB39" i="33"/>
  <c r="W38" i="33"/>
  <c r="S40" i="33"/>
  <c r="S33" i="33"/>
  <c r="U38" i="33"/>
  <c r="S8" i="21"/>
  <c r="AB27" i="35"/>
  <c r="S10" i="40"/>
  <c r="W10" i="40"/>
  <c r="S11" i="40"/>
  <c r="U11" i="40"/>
  <c r="S36" i="40"/>
  <c r="U36" i="40"/>
  <c r="S40" i="39"/>
  <c r="S36" i="39"/>
  <c r="F11" i="21"/>
  <c r="S11" i="21"/>
  <c r="AB36" i="21"/>
  <c r="AC35" i="21"/>
  <c r="U36" i="39"/>
  <c r="H32" i="33"/>
  <c r="AB32" i="33" s="1"/>
  <c r="H11" i="21"/>
  <c r="U11" i="21" s="1"/>
  <c r="J11" i="21"/>
  <c r="W11" i="21" s="1"/>
  <c r="AA12" i="33"/>
  <c r="J27" i="36"/>
  <c r="W27" i="36"/>
  <c r="J30" i="35"/>
  <c r="W30" i="35"/>
  <c r="F22" i="35"/>
  <c r="AA22" i="35"/>
  <c r="H10" i="35"/>
  <c r="U10" i="35"/>
  <c r="E85" i="36"/>
  <c r="F85" i="36" s="1"/>
  <c r="G85" i="36" s="1"/>
  <c r="H85" i="36" s="1"/>
  <c r="I85" i="36" s="1"/>
  <c r="J85" i="36" s="1"/>
  <c r="K85" i="36" s="1"/>
  <c r="L85" i="36" s="1"/>
  <c r="M85" i="36" s="1"/>
  <c r="J29" i="36"/>
  <c r="AC29" i="36" s="1"/>
  <c r="F12" i="36"/>
  <c r="S12" i="36" s="1"/>
  <c r="S10" i="36"/>
  <c r="H16" i="35"/>
  <c r="U16" i="35" s="1"/>
  <c r="H33" i="35"/>
  <c r="AB33" i="35" s="1"/>
  <c r="W8" i="35"/>
  <c r="AC8" i="35"/>
  <c r="F35" i="37"/>
  <c r="S35" i="37" s="1"/>
  <c r="J34" i="37"/>
  <c r="W34" i="37" s="1"/>
  <c r="H43" i="34"/>
  <c r="AB43" i="34" s="1"/>
  <c r="E114" i="34"/>
  <c r="H36" i="34"/>
  <c r="U36" i="34"/>
  <c r="F37" i="34"/>
  <c r="AA37" i="34"/>
  <c r="F33" i="34"/>
  <c r="S33" i="34"/>
  <c r="F19" i="34"/>
  <c r="J10" i="34"/>
  <c r="AC10" i="34" s="1"/>
  <c r="S38" i="33"/>
  <c r="F36" i="33"/>
  <c r="S36" i="33" s="1"/>
  <c r="F19" i="33"/>
  <c r="J19" i="33"/>
  <c r="S10" i="21"/>
  <c r="G125" i="21"/>
  <c r="AB30" i="36"/>
  <c r="S22" i="35"/>
  <c r="H29" i="35"/>
  <c r="U34" i="37"/>
  <c r="AB40" i="34"/>
  <c r="W36" i="34"/>
  <c r="J19" i="34"/>
  <c r="AC19" i="34" s="1"/>
  <c r="G113" i="33"/>
  <c r="H113" i="33" s="1"/>
  <c r="I113" i="33" s="1"/>
  <c r="J113" i="33" s="1"/>
  <c r="K113" i="33" s="1"/>
  <c r="L113" i="33" s="1"/>
  <c r="M113" i="33" s="1"/>
  <c r="H37" i="33"/>
  <c r="AB37" i="33" s="1"/>
  <c r="S37" i="33"/>
  <c r="W43" i="34"/>
  <c r="AA42" i="34"/>
  <c r="W38" i="34"/>
  <c r="J37" i="33"/>
  <c r="W37" i="33"/>
  <c r="J42" i="21"/>
  <c r="AC42" i="21"/>
  <c r="J44" i="34"/>
  <c r="AC44" i="34"/>
  <c r="F44" i="34"/>
  <c r="S44" i="34"/>
  <c r="J10" i="35"/>
  <c r="W10" i="35"/>
  <c r="AL5" i="3"/>
  <c r="BQ13" i="3"/>
  <c r="BQ5" i="3" s="1"/>
  <c r="J14" i="21"/>
  <c r="W14" i="21" s="1"/>
  <c r="F14" i="21"/>
  <c r="AA14" i="21"/>
  <c r="H14" i="21"/>
  <c r="U14" i="21"/>
  <c r="H28" i="21"/>
  <c r="AB28" i="21"/>
  <c r="F28" i="21"/>
  <c r="J28" i="21"/>
  <c r="AC28" i="21" s="1"/>
  <c r="H30" i="21"/>
  <c r="F30" i="21"/>
  <c r="S30" i="21" s="1"/>
  <c r="J30" i="21"/>
  <c r="AC30" i="21" s="1"/>
  <c r="J44" i="21"/>
  <c r="AC44" i="21" s="1"/>
  <c r="H44" i="21"/>
  <c r="U44" i="21" s="1"/>
  <c r="F44" i="21"/>
  <c r="AA44" i="21" s="1"/>
  <c r="H46" i="21"/>
  <c r="AB46" i="21" s="1"/>
  <c r="J46" i="21"/>
  <c r="W46" i="21" s="1"/>
  <c r="F46" i="21"/>
  <c r="AA46" i="21" s="1"/>
  <c r="F28" i="33"/>
  <c r="F33" i="35"/>
  <c r="J33" i="35"/>
  <c r="W33" i="35" s="1"/>
  <c r="F30" i="35"/>
  <c r="AA30" i="35" s="1"/>
  <c r="G89" i="35"/>
  <c r="H89" i="35" s="1"/>
  <c r="I89" i="35" s="1"/>
  <c r="J89" i="35" s="1"/>
  <c r="K89" i="35"/>
  <c r="L89" i="35" s="1"/>
  <c r="M89" i="35" s="1"/>
  <c r="H10" i="36"/>
  <c r="AB10" i="36"/>
  <c r="F28" i="36"/>
  <c r="S28" i="36"/>
  <c r="F27" i="36"/>
  <c r="S27" i="36"/>
  <c r="J27" i="33"/>
  <c r="AC27" i="33"/>
  <c r="F27" i="33"/>
  <c r="S27" i="33"/>
  <c r="F45" i="33"/>
  <c r="S45" i="33" s="1"/>
  <c r="F11" i="35"/>
  <c r="S11" i="35" s="1"/>
  <c r="H28" i="36"/>
  <c r="U28" i="36" s="1"/>
  <c r="H32" i="36"/>
  <c r="AB32" i="36" s="1"/>
  <c r="J32" i="36"/>
  <c r="W32" i="36" s="1"/>
  <c r="J11" i="36"/>
  <c r="W11" i="36" s="1"/>
  <c r="E89" i="37"/>
  <c r="F89" i="37" s="1"/>
  <c r="G89" i="37" s="1"/>
  <c r="H89" i="37" s="1"/>
  <c r="I89" i="37" s="1"/>
  <c r="J89" i="37" s="1"/>
  <c r="K89" i="37" s="1"/>
  <c r="L89" i="37" s="1"/>
  <c r="M89" i="37" s="1"/>
  <c r="J29" i="37"/>
  <c r="W29" i="37" s="1"/>
  <c r="F29" i="37"/>
  <c r="J37" i="37"/>
  <c r="AC37" i="37"/>
  <c r="H37" i="37"/>
  <c r="U37" i="37"/>
  <c r="F40" i="37"/>
  <c r="AA40" i="37" s="1"/>
  <c r="H14" i="33"/>
  <c r="J14" i="33"/>
  <c r="AC14" i="33" s="1"/>
  <c r="F30" i="33"/>
  <c r="S30" i="33" s="1"/>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J25" i="36"/>
  <c r="W25" i="36" s="1"/>
  <c r="F25" i="36"/>
  <c r="AA25" i="36" s="1"/>
  <c r="H25" i="36"/>
  <c r="AB25" i="36" s="1"/>
  <c r="H13" i="37"/>
  <c r="AB13" i="37" s="1"/>
  <c r="F13" i="37"/>
  <c r="S13" i="37" s="1"/>
  <c r="J13" i="37"/>
  <c r="AC13" i="37" s="1"/>
  <c r="H38" i="37"/>
  <c r="AB38" i="37" s="1"/>
  <c r="J38" i="37"/>
  <c r="AC38" i="37" s="1"/>
  <c r="F38" i="37"/>
  <c r="S38" i="37" s="1"/>
  <c r="F27" i="37"/>
  <c r="AA27" i="37" s="1"/>
  <c r="J27" i="37"/>
  <c r="W27" i="37" s="1"/>
  <c r="AA38" i="37"/>
  <c r="J36" i="37"/>
  <c r="AC36" i="37" s="1"/>
  <c r="AB28" i="36"/>
  <c r="U46" i="21"/>
  <c r="W30" i="21"/>
  <c r="S28" i="21"/>
  <c r="AA28" i="21"/>
  <c r="AB14" i="21"/>
  <c r="W42" i="21"/>
  <c r="S46" i="33"/>
  <c r="AA27" i="33"/>
  <c r="U28" i="21"/>
  <c r="AB44" i="21"/>
  <c r="G499" i="3"/>
  <c r="G545" i="3"/>
  <c r="BL519" i="3"/>
  <c r="BL563" i="3"/>
  <c r="G518" i="3"/>
  <c r="G18" i="3"/>
  <c r="BA541" i="3"/>
  <c r="BA509" i="3"/>
  <c r="BA19" i="3"/>
  <c r="AZ19" i="3" s="1"/>
  <c r="BA546" i="3"/>
  <c r="BA532" i="3"/>
  <c r="BA498" i="3"/>
  <c r="BA484" i="3"/>
  <c r="G566" i="3"/>
  <c r="BA542" i="3"/>
  <c r="AC542" i="3"/>
  <c r="G542" i="3"/>
  <c r="BQ542" i="3"/>
  <c r="BL542" i="3"/>
  <c r="BQ568" i="3"/>
  <c r="BQ566" i="3"/>
  <c r="BQ564" i="3"/>
  <c r="BQ562" i="3"/>
  <c r="BQ560" i="3"/>
  <c r="BL560" i="3"/>
  <c r="BQ558" i="3"/>
  <c r="BL558" i="3"/>
  <c r="BQ556" i="3"/>
  <c r="BL556" i="3"/>
  <c r="BQ554" i="3"/>
  <c r="BQ552" i="3"/>
  <c r="BQ550" i="3"/>
  <c r="BQ548" i="3"/>
  <c r="BQ546" i="3"/>
  <c r="BQ544" i="3"/>
  <c r="G538" i="3"/>
  <c r="BQ540" i="3"/>
  <c r="BL540" i="3"/>
  <c r="BQ538" i="3"/>
  <c r="BQ536" i="3"/>
  <c r="BQ534" i="3"/>
  <c r="BQ532" i="3"/>
  <c r="BQ530" i="3"/>
  <c r="BQ528" i="3"/>
  <c r="BQ526" i="3"/>
  <c r="BQ524" i="3"/>
  <c r="BQ522" i="3"/>
  <c r="BQ520" i="3"/>
  <c r="BQ518" i="3"/>
  <c r="BQ516" i="3"/>
  <c r="BQ514" i="3"/>
  <c r="BQ512" i="3"/>
  <c r="BQ510" i="3"/>
  <c r="BL510" i="3"/>
  <c r="BQ508" i="3"/>
  <c r="BL508" i="3"/>
  <c r="AC506" i="3"/>
  <c r="G506" i="3"/>
  <c r="BQ506" i="3"/>
  <c r="BQ504" i="3"/>
  <c r="BQ502" i="3"/>
  <c r="BQ500" i="3"/>
  <c r="BQ498" i="3"/>
  <c r="BQ496" i="3"/>
  <c r="AC494" i="3"/>
  <c r="BQ494" i="3"/>
  <c r="G20" i="3"/>
  <c r="BQ492" i="3"/>
  <c r="BQ490" i="3"/>
  <c r="BQ488" i="3"/>
  <c r="BL488" i="3"/>
  <c r="BQ486" i="3"/>
  <c r="BQ484" i="3"/>
  <c r="BQ482" i="3"/>
  <c r="BQ20" i="3"/>
  <c r="BL20" i="3" s="1"/>
  <c r="BQ18" i="3"/>
  <c r="BL18" i="3" s="1"/>
  <c r="AZ18" i="3" s="1"/>
  <c r="S505" i="31"/>
  <c r="S503" i="31"/>
  <c r="S501" i="31"/>
  <c r="S499" i="31"/>
  <c r="O27" i="31"/>
  <c r="O28" i="31"/>
  <c r="O26" i="31"/>
  <c r="M27" i="31"/>
  <c r="M28" i="31"/>
  <c r="M26" i="31"/>
  <c r="I26" i="31"/>
  <c r="I25" i="31"/>
  <c r="S25" i="31"/>
  <c r="Q26" i="31"/>
  <c r="K26" i="31"/>
  <c r="I27" i="31"/>
  <c r="Q27" i="31"/>
  <c r="K27" i="31"/>
  <c r="I28" i="31"/>
  <c r="Q28" i="31"/>
  <c r="K28" i="31"/>
  <c r="S12" i="21"/>
  <c r="H25" i="21"/>
  <c r="U25" i="21"/>
  <c r="F25" i="21"/>
  <c r="S25" i="21"/>
  <c r="J25" i="21"/>
  <c r="AC25" i="21"/>
  <c r="H43" i="33"/>
  <c r="U43" i="33"/>
  <c r="H17" i="37"/>
  <c r="U17" i="37"/>
  <c r="F23" i="37"/>
  <c r="S23" i="37"/>
  <c r="F39" i="33"/>
  <c r="AA39" i="33" s="1"/>
  <c r="E123" i="33"/>
  <c r="F42" i="33"/>
  <c r="AA42" i="33" s="1"/>
  <c r="F22" i="36"/>
  <c r="S22" i="36" s="1"/>
  <c r="H35" i="34"/>
  <c r="F41" i="34"/>
  <c r="S41" i="34" s="1"/>
  <c r="H41" i="34"/>
  <c r="U41" i="34" s="1"/>
  <c r="J41" i="34"/>
  <c r="F10" i="35"/>
  <c r="F24" i="35"/>
  <c r="AA24" i="35" s="1"/>
  <c r="H24" i="35"/>
  <c r="AB24" i="35" s="1"/>
  <c r="H23" i="37"/>
  <c r="AB23" i="37" s="1"/>
  <c r="J32" i="37"/>
  <c r="F36" i="37"/>
  <c r="F37" i="37"/>
  <c r="F123" i="33"/>
  <c r="G123" i="33" s="1"/>
  <c r="H123" i="33" s="1"/>
  <c r="I123" i="33" s="1"/>
  <c r="J123" i="33" s="1"/>
  <c r="K123" i="33" s="1"/>
  <c r="L123" i="33" s="1"/>
  <c r="M123" i="33" s="1"/>
  <c r="H42" i="33"/>
  <c r="U42" i="33" s="1"/>
  <c r="J43" i="33"/>
  <c r="AC43" i="33" s="1"/>
  <c r="J23" i="37"/>
  <c r="W23" i="37" s="1"/>
  <c r="F17" i="37"/>
  <c r="AA17" i="37" s="1"/>
  <c r="AB43" i="33"/>
  <c r="D3" i="21"/>
  <c r="AC23" i="37"/>
  <c r="AC36" i="34"/>
  <c r="AC37" i="33"/>
  <c r="U19" i="21"/>
  <c r="AC33" i="21"/>
  <c r="AA36" i="21"/>
  <c r="F43" i="33"/>
  <c r="AA23" i="37"/>
  <c r="AB44" i="33"/>
  <c r="F37" i="21"/>
  <c r="S37" i="21"/>
  <c r="J37" i="21"/>
  <c r="W37" i="21"/>
  <c r="H19" i="34"/>
  <c r="AB19" i="34"/>
  <c r="J10" i="37"/>
  <c r="W10" i="37"/>
  <c r="F11" i="37"/>
  <c r="S11" i="37"/>
  <c r="H15" i="37"/>
  <c r="U15" i="37"/>
  <c r="F31" i="37"/>
  <c r="S31" i="37" s="1"/>
  <c r="H31" i="37"/>
  <c r="AB31" i="37" s="1"/>
  <c r="J15" i="37"/>
  <c r="J11" i="37"/>
  <c r="E90" i="40"/>
  <c r="F21" i="40"/>
  <c r="W36" i="40"/>
  <c r="U40" i="39"/>
  <c r="F90" i="40"/>
  <c r="G90" i="40" s="1"/>
  <c r="J21" i="40"/>
  <c r="AC21" i="40" s="1"/>
  <c r="S27" i="31"/>
  <c r="G507" i="3"/>
  <c r="BA15" i="3"/>
  <c r="BL17" i="3"/>
  <c r="BL15" i="3"/>
  <c r="BA14" i="3"/>
  <c r="AZ14" i="3" s="1"/>
  <c r="J57" i="39"/>
  <c r="H13" i="40"/>
  <c r="U13" i="40"/>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s="1"/>
  <c r="BA327" i="3"/>
  <c r="BL327" i="3"/>
  <c r="AZ327" i="3" s="1"/>
  <c r="G328" i="3"/>
  <c r="BA329" i="3"/>
  <c r="G337" i="3"/>
  <c r="BL338" i="3"/>
  <c r="G339" i="3"/>
  <c r="BL340" i="3"/>
  <c r="BA342" i="3"/>
  <c r="AZ342" i="3" s="1"/>
  <c r="BA343" i="3"/>
  <c r="BL343" i="3"/>
  <c r="AZ343" i="3" s="1"/>
  <c r="G344" i="3"/>
  <c r="BA345" i="3"/>
  <c r="G353" i="3"/>
  <c r="BL354" i="3"/>
  <c r="G355" i="3"/>
  <c r="BL356" i="3"/>
  <c r="G357" i="3"/>
  <c r="BL358" i="3"/>
  <c r="G359" i="3"/>
  <c r="BA360" i="3"/>
  <c r="AZ360" i="3" s="1"/>
  <c r="BA361" i="3"/>
  <c r="BL361" i="3"/>
  <c r="G362" i="3"/>
  <c r="BA363" i="3"/>
  <c r="G371" i="3"/>
  <c r="BL372" i="3"/>
  <c r="G373" i="3"/>
  <c r="BL374" i="3"/>
  <c r="BA376" i="3"/>
  <c r="BA377" i="3"/>
  <c r="BL377" i="3"/>
  <c r="G378" i="3"/>
  <c r="BA379" i="3"/>
  <c r="BA114" i="3"/>
  <c r="AZ114" i="3" s="1"/>
  <c r="BL115" i="3"/>
  <c r="AZ115" i="3" s="1"/>
  <c r="G116" i="3"/>
  <c r="BA118" i="3"/>
  <c r="AZ118" i="3" s="1"/>
  <c r="BL119" i="3"/>
  <c r="AZ119" i="3" s="1"/>
  <c r="G120" i="3"/>
  <c r="BA122" i="3"/>
  <c r="AZ122" i="3" s="1"/>
  <c r="BL123" i="3"/>
  <c r="AZ123" i="3" s="1"/>
  <c r="G124" i="3"/>
  <c r="BA126" i="3"/>
  <c r="BL127" i="3"/>
  <c r="AZ127" i="3" s="1"/>
  <c r="G128" i="3"/>
  <c r="BA130" i="3"/>
  <c r="AZ130" i="3" s="1"/>
  <c r="BL131" i="3"/>
  <c r="AZ131" i="3" s="1"/>
  <c r="G132" i="3"/>
  <c r="BA134" i="3"/>
  <c r="AZ134" i="3"/>
  <c r="BL135" i="3"/>
  <c r="AZ135" i="3"/>
  <c r="G136" i="3"/>
  <c r="BA138" i="3"/>
  <c r="AZ138" i="3" s="1"/>
  <c r="BL139" i="3"/>
  <c r="AZ139" i="3" s="1"/>
  <c r="G140" i="3"/>
  <c r="BA142" i="3"/>
  <c r="BL143" i="3"/>
  <c r="G144" i="3"/>
  <c r="BA146" i="3"/>
  <c r="AZ146" i="3"/>
  <c r="BL147" i="3"/>
  <c r="AZ147" i="3"/>
  <c r="G148" i="3"/>
  <c r="BA150" i="3"/>
  <c r="AZ150" i="3" s="1"/>
  <c r="BL151" i="3"/>
  <c r="AZ151" i="3" s="1"/>
  <c r="BA153" i="3"/>
  <c r="AZ153" i="3" s="1"/>
  <c r="BL154" i="3"/>
  <c r="AZ154" i="3" s="1"/>
  <c r="G155" i="3"/>
  <c r="BA157" i="3"/>
  <c r="AZ157" i="3" s="1"/>
  <c r="BL158" i="3"/>
  <c r="G159" i="3"/>
  <c r="BA161" i="3"/>
  <c r="BL162" i="3"/>
  <c r="G163" i="3"/>
  <c r="BA165" i="3"/>
  <c r="BL166" i="3"/>
  <c r="AZ166" i="3" s="1"/>
  <c r="G167" i="3"/>
  <c r="BA169" i="3"/>
  <c r="AZ169" i="3" s="1"/>
  <c r="BL170" i="3"/>
  <c r="AZ170" i="3" s="1"/>
  <c r="G171" i="3"/>
  <c r="BA173" i="3"/>
  <c r="AZ173" i="3" s="1"/>
  <c r="BL174" i="3"/>
  <c r="G175" i="3"/>
  <c r="BA178" i="3"/>
  <c r="BL179" i="3"/>
  <c r="G180" i="3"/>
  <c r="AZ27" i="3"/>
  <c r="AZ35" i="3"/>
  <c r="AZ47" i="3"/>
  <c r="AZ55" i="3"/>
  <c r="BL181" i="3"/>
  <c r="AZ181" i="3" s="1"/>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4" i="3"/>
  <c r="AZ82" i="3"/>
  <c r="AZ201" i="3"/>
  <c r="AZ84" i="3"/>
  <c r="AZ86" i="3"/>
  <c r="AZ94" i="3"/>
  <c r="AZ102" i="3"/>
  <c r="AZ110" i="3"/>
  <c r="BA298" i="3"/>
  <c r="BA299" i="3"/>
  <c r="BL299" i="3"/>
  <c r="G300" i="3"/>
  <c r="G303" i="3"/>
  <c r="BL304" i="3"/>
  <c r="BA306" i="3"/>
  <c r="AZ306" i="3" s="1"/>
  <c r="BA307" i="3"/>
  <c r="BL307" i="3"/>
  <c r="AZ307" i="3" s="1"/>
  <c r="G308" i="3"/>
  <c r="G319" i="3"/>
  <c r="BL320" i="3"/>
  <c r="BA322" i="3"/>
  <c r="BA323" i="3"/>
  <c r="AZ323" i="3" s="1"/>
  <c r="BL323" i="3"/>
  <c r="G324" i="3"/>
  <c r="G327" i="3"/>
  <c r="BL328" i="3"/>
  <c r="BA330" i="3"/>
  <c r="AZ330" i="3" s="1"/>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AZ358" i="3" s="1"/>
  <c r="BA359" i="3"/>
  <c r="BL359" i="3"/>
  <c r="AZ359" i="3" s="1"/>
  <c r="G360" i="3"/>
  <c r="G361" i="3"/>
  <c r="BL362" i="3"/>
  <c r="BA364" i="3"/>
  <c r="BA365" i="3"/>
  <c r="BL365" i="3"/>
  <c r="G366" i="3"/>
  <c r="G369" i="3"/>
  <c r="BL370" i="3"/>
  <c r="BA372" i="3"/>
  <c r="AZ372" i="3" s="1"/>
  <c r="BA373" i="3"/>
  <c r="BL373" i="3"/>
  <c r="G374" i="3"/>
  <c r="G377" i="3"/>
  <c r="BL378" i="3"/>
  <c r="BA380" i="3"/>
  <c r="AZ380" i="3"/>
  <c r="BA381" i="3"/>
  <c r="AZ381" i="3"/>
  <c r="BL381" i="3"/>
  <c r="G382" i="3"/>
  <c r="G385" i="3"/>
  <c r="AZ162" i="3"/>
  <c r="AZ179" i="3"/>
  <c r="AZ183" i="3"/>
  <c r="AZ187" i="3"/>
  <c r="AZ191" i="3"/>
  <c r="AZ195" i="3"/>
  <c r="AZ199" i="3"/>
  <c r="AZ203" i="3"/>
  <c r="BL297" i="3"/>
  <c r="AZ297" i="3" s="1"/>
  <c r="G298" i="3"/>
  <c r="BA300" i="3"/>
  <c r="BL301" i="3"/>
  <c r="AZ301" i="3" s="1"/>
  <c r="G302" i="3"/>
  <c r="BA304" i="3"/>
  <c r="AZ304" i="3"/>
  <c r="BL305" i="3"/>
  <c r="G306" i="3"/>
  <c r="BA308" i="3"/>
  <c r="AZ308" i="3"/>
  <c r="BL309" i="3"/>
  <c r="G310" i="3"/>
  <c r="BA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BL329" i="3"/>
  <c r="G330" i="3"/>
  <c r="BA332" i="3"/>
  <c r="AZ332" i="3" s="1"/>
  <c r="BL333" i="3"/>
  <c r="G334" i="3"/>
  <c r="BA336" i="3"/>
  <c r="AZ336" i="3" s="1"/>
  <c r="BL337" i="3"/>
  <c r="AZ337" i="3" s="1"/>
  <c r="G338" i="3"/>
  <c r="BA340" i="3"/>
  <c r="AZ340" i="3" s="1"/>
  <c r="BL341" i="3"/>
  <c r="G342" i="3"/>
  <c r="BA344" i="3"/>
  <c r="AZ344" i="3" s="1"/>
  <c r="BL345" i="3"/>
  <c r="G346" i="3"/>
  <c r="BA348" i="3"/>
  <c r="AZ348" i="3" s="1"/>
  <c r="BL349" i="3"/>
  <c r="AZ349" i="3" s="1"/>
  <c r="G350" i="3"/>
  <c r="BA352" i="3"/>
  <c r="AZ352" i="3" s="1"/>
  <c r="BL353" i="3"/>
  <c r="G354" i="3"/>
  <c r="BA356" i="3"/>
  <c r="AZ356" i="3" s="1"/>
  <c r="BL357" i="3"/>
  <c r="G358" i="3"/>
  <c r="BA362" i="3"/>
  <c r="AZ362" i="3" s="1"/>
  <c r="BL363" i="3"/>
  <c r="G364" i="3"/>
  <c r="BA366" i="3"/>
  <c r="AZ366" i="3" s="1"/>
  <c r="BL367" i="3"/>
  <c r="AZ367" i="3" s="1"/>
  <c r="AZ213" i="3"/>
  <c r="AZ217" i="3"/>
  <c r="AZ229" i="3"/>
  <c r="AZ233" i="3"/>
  <c r="AZ245" i="3"/>
  <c r="AZ309" i="3"/>
  <c r="AZ317" i="3"/>
  <c r="AZ321" i="3"/>
  <c r="AZ325" i="3"/>
  <c r="AZ333" i="3"/>
  <c r="AZ341" i="3"/>
  <c r="AZ353" i="3"/>
  <c r="AZ363" i="3"/>
  <c r="G368" i="3"/>
  <c r="BA370" i="3"/>
  <c r="AZ370" i="3" s="1"/>
  <c r="BL371" i="3"/>
  <c r="AZ371" i="3" s="1"/>
  <c r="G372" i="3"/>
  <c r="BA374" i="3"/>
  <c r="BL375" i="3"/>
  <c r="G376" i="3"/>
  <c r="BA378" i="3"/>
  <c r="AZ378" i="3" s="1"/>
  <c r="BL379" i="3"/>
  <c r="G380" i="3"/>
  <c r="BA382" i="3"/>
  <c r="BL383" i="3"/>
  <c r="G384" i="3"/>
  <c r="AZ249" i="3"/>
  <c r="AZ261" i="3"/>
  <c r="AZ265" i="3"/>
  <c r="AZ375" i="3"/>
  <c r="AZ383" i="3"/>
  <c r="AZ270" i="3"/>
  <c r="AZ282" i="3"/>
  <c r="AZ286" i="3"/>
  <c r="AZ311" i="3"/>
  <c r="AZ315" i="3"/>
  <c r="AZ339" i="3"/>
  <c r="AZ385" i="3"/>
  <c r="AZ394" i="3"/>
  <c r="AZ410" i="3"/>
  <c r="AZ418" i="3"/>
  <c r="AZ426" i="3"/>
  <c r="AZ430" i="3"/>
  <c r="AZ442" i="3"/>
  <c r="AZ446" i="3"/>
  <c r="AZ459" i="3"/>
  <c r="AZ463" i="3"/>
  <c r="AZ475" i="3"/>
  <c r="AZ479" i="3"/>
  <c r="H7" i="48"/>
  <c r="H113" i="46"/>
  <c r="H17" i="46"/>
  <c r="F33" i="46"/>
  <c r="F35" i="46"/>
  <c r="F37" i="46"/>
  <c r="H16" i="48"/>
  <c r="H9" i="48"/>
  <c r="H8" i="48"/>
  <c r="C12" i="46"/>
  <c r="AB15" i="37"/>
  <c r="U43" i="21"/>
  <c r="E78" i="40"/>
  <c r="F78" i="40" s="1"/>
  <c r="G78" i="40" s="1"/>
  <c r="H78" i="40" s="1"/>
  <c r="I78" i="40" s="1"/>
  <c r="J78" i="40" s="1"/>
  <c r="K78" i="40" s="1"/>
  <c r="L78" i="40" s="1"/>
  <c r="M78" i="40" s="1"/>
  <c r="R16" i="4"/>
  <c r="P16" i="4"/>
  <c r="D3" i="35"/>
  <c r="G4" i="4"/>
  <c r="S37" i="34"/>
  <c r="J16" i="35"/>
  <c r="W16" i="35"/>
  <c r="U42" i="21"/>
  <c r="AC26" i="36"/>
  <c r="AZ322" i="3"/>
  <c r="H11" i="37"/>
  <c r="AB11" i="37" s="1"/>
  <c r="W37" i="37"/>
  <c r="S42" i="33"/>
  <c r="U32" i="33"/>
  <c r="AB17" i="37"/>
  <c r="AA45" i="33"/>
  <c r="AC11" i="36"/>
  <c r="AB45" i="34"/>
  <c r="AC29" i="37"/>
  <c r="AC32" i="36"/>
  <c r="U28" i="33"/>
  <c r="J33" i="34"/>
  <c r="AC33" i="34" s="1"/>
  <c r="AB36" i="34"/>
  <c r="J40" i="34"/>
  <c r="F16" i="35"/>
  <c r="J35" i="34"/>
  <c r="S30" i="36"/>
  <c r="H16" i="36"/>
  <c r="AB16" i="36"/>
  <c r="H35" i="37"/>
  <c r="AB35" i="37" s="1"/>
  <c r="S26" i="21"/>
  <c r="AB12" i="21"/>
  <c r="H32" i="21"/>
  <c r="U32" i="21" s="1"/>
  <c r="AB26" i="21"/>
  <c r="U26" i="21"/>
  <c r="AA33" i="21"/>
  <c r="S33" i="21"/>
  <c r="U39" i="21"/>
  <c r="J32" i="21"/>
  <c r="AC32" i="21" s="1"/>
  <c r="F17" i="21"/>
  <c r="S17" i="21" s="1"/>
  <c r="H17" i="21"/>
  <c r="J17" i="21"/>
  <c r="H37" i="21"/>
  <c r="F40" i="21"/>
  <c r="S40" i="21" s="1"/>
  <c r="H40" i="21"/>
  <c r="E119" i="21"/>
  <c r="F119" i="21" s="1"/>
  <c r="G119" i="21" s="1"/>
  <c r="H119" i="21" s="1"/>
  <c r="I119" i="21" s="1"/>
  <c r="J119" i="21" s="1"/>
  <c r="K119" i="21" s="1"/>
  <c r="L119" i="21" s="1"/>
  <c r="M119" i="21" s="1"/>
  <c r="H66" i="33"/>
  <c r="F10" i="33"/>
  <c r="AA10" i="33"/>
  <c r="F11" i="33"/>
  <c r="S11" i="33"/>
  <c r="J15" i="33"/>
  <c r="W15" i="33"/>
  <c r="H19" i="33"/>
  <c r="AB19" i="33"/>
  <c r="F32" i="33"/>
  <c r="AA32" i="33"/>
  <c r="J32" i="33"/>
  <c r="AC32" i="33"/>
  <c r="F35" i="33"/>
  <c r="AA35" i="33"/>
  <c r="AB39" i="34"/>
  <c r="F11" i="34"/>
  <c r="H17" i="34"/>
  <c r="AB17" i="34" s="1"/>
  <c r="W27" i="34"/>
  <c r="AB28" i="35"/>
  <c r="H11" i="35"/>
  <c r="AB11" i="35" s="1"/>
  <c r="H32" i="37"/>
  <c r="AB32" i="37"/>
  <c r="H19" i="39"/>
  <c r="U19" i="39" s="1"/>
  <c r="F43" i="39"/>
  <c r="AA43" i="39" s="1"/>
  <c r="J43" i="39"/>
  <c r="AC43" i="39" s="1"/>
  <c r="AC27" i="37"/>
  <c r="U31" i="34"/>
  <c r="W27" i="33"/>
  <c r="S14" i="21"/>
  <c r="AA44" i="34"/>
  <c r="AB29" i="35"/>
  <c r="U29" i="35"/>
  <c r="AC19" i="33"/>
  <c r="W19" i="33"/>
  <c r="U43" i="34"/>
  <c r="AC34" i="37"/>
  <c r="AA35" i="37"/>
  <c r="AB10" i="35"/>
  <c r="AA32" i="21"/>
  <c r="U38" i="21"/>
  <c r="BL571" i="3"/>
  <c r="F42" i="21"/>
  <c r="AA42" i="21" s="1"/>
  <c r="U40" i="33"/>
  <c r="AA35" i="34"/>
  <c r="S35" i="34"/>
  <c r="H27" i="34"/>
  <c r="AB27" i="34" s="1"/>
  <c r="U8" i="35"/>
  <c r="J14" i="35"/>
  <c r="AC14" i="35" s="1"/>
  <c r="F14" i="35"/>
  <c r="S14" i="35" s="1"/>
  <c r="H14" i="35"/>
  <c r="U14" i="35" s="1"/>
  <c r="E80" i="35"/>
  <c r="J32" i="35"/>
  <c r="AC32" i="35"/>
  <c r="H11" i="36"/>
  <c r="AB11" i="36"/>
  <c r="F11" i="36"/>
  <c r="S11" i="36"/>
  <c r="AC16" i="36"/>
  <c r="F26" i="36"/>
  <c r="S26" i="36" s="1"/>
  <c r="F33" i="36"/>
  <c r="AA33" i="36" s="1"/>
  <c r="H27" i="36"/>
  <c r="AB27" i="36" s="1"/>
  <c r="AC25" i="37"/>
  <c r="AB29" i="37"/>
  <c r="AA30" i="37"/>
  <c r="AC30" i="37"/>
  <c r="W31" i="37"/>
  <c r="F17" i="39"/>
  <c r="AA17" i="39" s="1"/>
  <c r="H17" i="39"/>
  <c r="U17" i="39" s="1"/>
  <c r="J17" i="39"/>
  <c r="W17" i="39" s="1"/>
  <c r="F21" i="39"/>
  <c r="S21" i="39" s="1"/>
  <c r="H21" i="39"/>
  <c r="AB21" i="39" s="1"/>
  <c r="J21" i="39"/>
  <c r="H33" i="39"/>
  <c r="U33" i="39" s="1"/>
  <c r="F44" i="39"/>
  <c r="J44" i="39"/>
  <c r="F46" i="39"/>
  <c r="S46" i="39" s="1"/>
  <c r="J46" i="39"/>
  <c r="W46" i="39" s="1"/>
  <c r="F29" i="39"/>
  <c r="AA29" i="39" s="1"/>
  <c r="F103" i="39"/>
  <c r="G103" i="39" s="1"/>
  <c r="H29" i="39"/>
  <c r="F34" i="39"/>
  <c r="AA34" i="39" s="1"/>
  <c r="H34" i="39"/>
  <c r="AB34" i="39" s="1"/>
  <c r="J34" i="39"/>
  <c r="H39" i="39"/>
  <c r="AB39" i="39" s="1"/>
  <c r="J39" i="39"/>
  <c r="AC39" i="39" s="1"/>
  <c r="J29" i="35"/>
  <c r="F29" i="35"/>
  <c r="AC30" i="36"/>
  <c r="H37" i="39"/>
  <c r="U37" i="39" s="1"/>
  <c r="BA568" i="3"/>
  <c r="BA567" i="3"/>
  <c r="BA564" i="3"/>
  <c r="BL554" i="3"/>
  <c r="BA552" i="3"/>
  <c r="BL539" i="3"/>
  <c r="BA533" i="3"/>
  <c r="AZ533" i="3" s="1"/>
  <c r="BL531" i="3"/>
  <c r="BA530" i="3"/>
  <c r="BA526" i="3"/>
  <c r="BL522" i="3"/>
  <c r="BA518" i="3"/>
  <c r="BA517" i="3"/>
  <c r="AZ517" i="3" s="1"/>
  <c r="BA515" i="3"/>
  <c r="BA511" i="3"/>
  <c r="BL509" i="3"/>
  <c r="AZ509" i="3" s="1"/>
  <c r="BA507" i="3"/>
  <c r="AZ507" i="3" s="1"/>
  <c r="BL506" i="3"/>
  <c r="BL505" i="3"/>
  <c r="BA504" i="3"/>
  <c r="BL499" i="3"/>
  <c r="BA497" i="3"/>
  <c r="BA496" i="3"/>
  <c r="BL490" i="3"/>
  <c r="BL487" i="3"/>
  <c r="BA486" i="3"/>
  <c r="BA482" i="3"/>
  <c r="BL19" i="3"/>
  <c r="BA18" i="3"/>
  <c r="F114" i="34"/>
  <c r="G114" i="34" s="1"/>
  <c r="H114" i="34" s="1"/>
  <c r="I114" i="34" s="1"/>
  <c r="J114" i="34" s="1"/>
  <c r="K114" i="34" s="1"/>
  <c r="L114" i="34" s="1"/>
  <c r="M114" i="34" s="1"/>
  <c r="H38" i="34"/>
  <c r="U38" i="34"/>
  <c r="H30" i="40"/>
  <c r="AB30" i="40"/>
  <c r="J30" i="40"/>
  <c r="F38" i="40"/>
  <c r="AA36" i="34"/>
  <c r="AC12" i="21"/>
  <c r="AB33" i="21"/>
  <c r="S35" i="21"/>
  <c r="AB10" i="21"/>
  <c r="AB8" i="21"/>
  <c r="AB8" i="33"/>
  <c r="E106" i="33"/>
  <c r="F106" i="33" s="1"/>
  <c r="G106" i="33" s="1"/>
  <c r="H106" i="33" s="1"/>
  <c r="I106" i="33" s="1"/>
  <c r="J106" i="33" s="1"/>
  <c r="K106" i="33" s="1"/>
  <c r="L106" i="33" s="1"/>
  <c r="M106" i="33" s="1"/>
  <c r="H34" i="33"/>
  <c r="U34" i="33"/>
  <c r="F34" i="33"/>
  <c r="S34" i="33"/>
  <c r="F41" i="33"/>
  <c r="AC34" i="34"/>
  <c r="W34" i="34"/>
  <c r="AA39" i="34"/>
  <c r="S39" i="34"/>
  <c r="S43" i="34"/>
  <c r="F15" i="34"/>
  <c r="S15" i="34" s="1"/>
  <c r="AC28" i="35"/>
  <c r="W28" i="35"/>
  <c r="J20" i="35"/>
  <c r="AC20" i="35"/>
  <c r="F72" i="35"/>
  <c r="G72" i="35" s="1"/>
  <c r="H22" i="35"/>
  <c r="H23" i="35"/>
  <c r="U23" i="35" s="1"/>
  <c r="W12" i="36"/>
  <c r="U31" i="36"/>
  <c r="H14" i="39"/>
  <c r="F16" i="39"/>
  <c r="AA16" i="39" s="1"/>
  <c r="J16" i="39"/>
  <c r="AC16" i="39" s="1"/>
  <c r="E97" i="39"/>
  <c r="F23" i="39" s="1"/>
  <c r="AA23" i="39" s="1"/>
  <c r="H27" i="39"/>
  <c r="AB27" i="39" s="1"/>
  <c r="H15" i="40"/>
  <c r="H23" i="40"/>
  <c r="U23" i="40" s="1"/>
  <c r="F41" i="40"/>
  <c r="H36" i="33"/>
  <c r="AB36" i="33" s="1"/>
  <c r="H37" i="34"/>
  <c r="U37" i="34" s="1"/>
  <c r="F15" i="39"/>
  <c r="H15" i="39"/>
  <c r="U15" i="39" s="1"/>
  <c r="J15" i="39"/>
  <c r="AC15" i="39" s="1"/>
  <c r="H25" i="39"/>
  <c r="U25" i="39" s="1"/>
  <c r="J25" i="39"/>
  <c r="AC25" i="39" s="1"/>
  <c r="F25" i="39"/>
  <c r="F45" i="39"/>
  <c r="J45" i="39"/>
  <c r="H47" i="39"/>
  <c r="F41" i="39"/>
  <c r="AA41" i="39" s="1"/>
  <c r="H41" i="39"/>
  <c r="AB41" i="39" s="1"/>
  <c r="J41" i="39"/>
  <c r="AC41" i="39" s="1"/>
  <c r="E94" i="40"/>
  <c r="F94" i="40" s="1"/>
  <c r="J25" i="40"/>
  <c r="AC25" i="40" s="1"/>
  <c r="J32" i="40"/>
  <c r="AC32" i="40" s="1"/>
  <c r="H32" i="40"/>
  <c r="U32" i="40" s="1"/>
  <c r="H33" i="40"/>
  <c r="AB33" i="40" s="1"/>
  <c r="F33" i="40"/>
  <c r="AA33" i="40" s="1"/>
  <c r="J33" i="40"/>
  <c r="AC33" i="40" s="1"/>
  <c r="H35" i="40"/>
  <c r="AB35" i="40" s="1"/>
  <c r="F35" i="40"/>
  <c r="AA35" i="40" s="1"/>
  <c r="J35" i="40"/>
  <c r="AC35" i="40" s="1"/>
  <c r="J16" i="40"/>
  <c r="W16" i="40" s="1"/>
  <c r="J14" i="40"/>
  <c r="W14" i="40" s="1"/>
  <c r="H40" i="40"/>
  <c r="AZ399" i="3"/>
  <c r="AZ403" i="3"/>
  <c r="AZ415" i="3"/>
  <c r="AZ431" i="3"/>
  <c r="AZ439" i="3"/>
  <c r="B41" i="1"/>
  <c r="J42" i="40"/>
  <c r="J40" i="40"/>
  <c r="J34" i="40"/>
  <c r="H16" i="40"/>
  <c r="AB16" i="40" s="1"/>
  <c r="H14" i="40"/>
  <c r="U14" i="40" s="1"/>
  <c r="F32" i="40"/>
  <c r="AA32" i="40" s="1"/>
  <c r="AZ401" i="3"/>
  <c r="AZ428" i="3"/>
  <c r="AZ433" i="3"/>
  <c r="AZ441" i="3"/>
  <c r="AZ444" i="3"/>
  <c r="M1" i="46"/>
  <c r="M6" i="46"/>
  <c r="M10" i="46"/>
  <c r="N2" i="46"/>
  <c r="N5" i="46"/>
  <c r="F58" i="46"/>
  <c r="H61" i="46" s="1"/>
  <c r="N7" i="46"/>
  <c r="AZ461" i="3"/>
  <c r="AZ466" i="3"/>
  <c r="AZ477" i="3"/>
  <c r="AZ388" i="3"/>
  <c r="AZ215" i="3"/>
  <c r="AZ220" i="3"/>
  <c r="AZ231" i="3"/>
  <c r="AZ236" i="3"/>
  <c r="AZ247" i="3"/>
  <c r="AZ252" i="3"/>
  <c r="AZ263" i="3"/>
  <c r="AZ268" i="3"/>
  <c r="AZ281" i="3"/>
  <c r="AZ284" i="3"/>
  <c r="AZ289" i="3"/>
  <c r="AZ121" i="3"/>
  <c r="AZ137" i="3"/>
  <c r="AZ152" i="3"/>
  <c r="M7" i="46"/>
  <c r="M11" i="46"/>
  <c r="N3" i="46"/>
  <c r="N6" i="46"/>
  <c r="N10" i="46"/>
  <c r="AZ167" i="3"/>
  <c r="AZ180" i="3"/>
  <c r="AZ32" i="3"/>
  <c r="AZ56" i="3"/>
  <c r="AZ63" i="3"/>
  <c r="AZ79" i="3"/>
  <c r="AZ99" i="3"/>
  <c r="AZ112" i="3"/>
  <c r="J13" i="40"/>
  <c r="F34" i="44"/>
  <c r="F66" i="9"/>
  <c r="P72" i="9" s="1"/>
  <c r="F72" i="9"/>
  <c r="W35" i="40"/>
  <c r="AB32" i="40"/>
  <c r="AB37" i="34"/>
  <c r="J23" i="40"/>
  <c r="AC23" i="40" s="1"/>
  <c r="F23" i="40"/>
  <c r="S23" i="40" s="1"/>
  <c r="AB23" i="35"/>
  <c r="H20" i="35"/>
  <c r="F20" i="35"/>
  <c r="S20" i="35" s="1"/>
  <c r="H15" i="34"/>
  <c r="F78" i="34"/>
  <c r="G78" i="34" s="1"/>
  <c r="J15" i="34"/>
  <c r="AC15" i="34" s="1"/>
  <c r="H41" i="33"/>
  <c r="U41" i="33" s="1"/>
  <c r="F30" i="40"/>
  <c r="AA30" i="40"/>
  <c r="AB38" i="34"/>
  <c r="U39" i="39"/>
  <c r="J29" i="39"/>
  <c r="AC29" i="39" s="1"/>
  <c r="U21" i="39"/>
  <c r="AA11" i="36"/>
  <c r="AA14" i="35"/>
  <c r="F33" i="37"/>
  <c r="S33" i="37" s="1"/>
  <c r="U17" i="34"/>
  <c r="W32" i="33"/>
  <c r="H15" i="33"/>
  <c r="U15" i="33" s="1"/>
  <c r="AA11" i="33"/>
  <c r="U16" i="40"/>
  <c r="W32" i="40"/>
  <c r="H25" i="40"/>
  <c r="AB25" i="40"/>
  <c r="G94" i="40"/>
  <c r="J37" i="34"/>
  <c r="AC37" i="34" s="1"/>
  <c r="J36" i="33"/>
  <c r="W36" i="33" s="1"/>
  <c r="AB23" i="40"/>
  <c r="J23" i="39"/>
  <c r="S16" i="39"/>
  <c r="AA34" i="33"/>
  <c r="J34" i="33"/>
  <c r="AC34" i="33" s="1"/>
  <c r="U30" i="40"/>
  <c r="W39" i="39"/>
  <c r="S17" i="39"/>
  <c r="U11" i="36"/>
  <c r="F80" i="35"/>
  <c r="G80" i="35" s="1"/>
  <c r="H80" i="35" s="1"/>
  <c r="I80" i="35" s="1"/>
  <c r="J80" i="35" s="1"/>
  <c r="K80" i="35" s="1"/>
  <c r="L80" i="35" s="1"/>
  <c r="M80" i="35" s="1"/>
  <c r="F27" i="34"/>
  <c r="S27" i="34" s="1"/>
  <c r="W43" i="39"/>
  <c r="F32" i="37"/>
  <c r="S32" i="37" s="1"/>
  <c r="U11" i="35"/>
  <c r="F17" i="34"/>
  <c r="AA17" i="34" s="1"/>
  <c r="J17" i="34"/>
  <c r="H11" i="34"/>
  <c r="J35" i="33"/>
  <c r="S32" i="33"/>
  <c r="AC15" i="33"/>
  <c r="H11" i="33"/>
  <c r="U11" i="33" s="1"/>
  <c r="H10" i="33"/>
  <c r="I66" i="33"/>
  <c r="J10" i="33"/>
  <c r="AC10" i="33"/>
  <c r="AC16" i="35"/>
  <c r="J11" i="34"/>
  <c r="W11" i="34" s="1"/>
  <c r="AC36" i="33"/>
  <c r="F25" i="40"/>
  <c r="J11" i="33"/>
  <c r="W11" i="33" s="1"/>
  <c r="H33" i="37"/>
  <c r="AB33" i="37" s="1"/>
  <c r="W15" i="34"/>
  <c r="U20" i="35"/>
  <c r="AB20" i="35"/>
  <c r="D73" i="9"/>
  <c r="N73" i="9" s="1"/>
  <c r="AP11" i="1"/>
  <c r="B11" i="1"/>
  <c r="E11" i="1" s="1"/>
  <c r="K11" i="1"/>
  <c r="M11" i="1" s="1"/>
  <c r="O11" i="1" s="1"/>
  <c r="B9" i="1"/>
  <c r="E9" i="1" s="1"/>
  <c r="B7" i="1"/>
  <c r="E7" i="1" s="1"/>
  <c r="K7" i="1"/>
  <c r="M7" i="1" s="1"/>
  <c r="C20" i="43"/>
  <c r="F6" i="1"/>
  <c r="G11" i="1"/>
  <c r="M22" i="44"/>
  <c r="F29" i="12"/>
  <c r="D86" i="9"/>
  <c r="F31" i="43"/>
  <c r="AC25" i="36"/>
  <c r="S8" i="36"/>
  <c r="AA28" i="36"/>
  <c r="U25" i="36"/>
  <c r="H20" i="36"/>
  <c r="U20" i="36"/>
  <c r="J20" i="36"/>
  <c r="AC20" i="36"/>
  <c r="F20" i="36"/>
  <c r="S20" i="36"/>
  <c r="G62" i="36"/>
  <c r="J14" i="36"/>
  <c r="H14" i="36"/>
  <c r="AB14" i="36" s="1"/>
  <c r="F14" i="36"/>
  <c r="AA14" i="36" s="1"/>
  <c r="W20" i="36"/>
  <c r="U27" i="36"/>
  <c r="U32" i="36"/>
  <c r="S33" i="36"/>
  <c r="AA27" i="36"/>
  <c r="S16" i="36"/>
  <c r="S29" i="36"/>
  <c r="AC33" i="35"/>
  <c r="S8" i="35"/>
  <c r="AA20" i="35"/>
  <c r="W20" i="35"/>
  <c r="AB14" i="35"/>
  <c r="AC10" i="35"/>
  <c r="AC18" i="35"/>
  <c r="W18" i="35"/>
  <c r="U18" i="35"/>
  <c r="AB18" i="35"/>
  <c r="AB30" i="35"/>
  <c r="S28" i="35"/>
  <c r="J26" i="35"/>
  <c r="F26" i="35"/>
  <c r="S26" i="35" s="1"/>
  <c r="H26" i="35"/>
  <c r="S17" i="37"/>
  <c r="AB37" i="37"/>
  <c r="AA31" i="37"/>
  <c r="AA33" i="37"/>
  <c r="U32" i="37"/>
  <c r="AA32" i="37"/>
  <c r="J33" i="37"/>
  <c r="W33" i="37"/>
  <c r="J19" i="37"/>
  <c r="F19" i="37"/>
  <c r="AA19" i="37" s="1"/>
  <c r="H19" i="37"/>
  <c r="J17" i="37"/>
  <c r="W17" i="37" s="1"/>
  <c r="S15" i="37"/>
  <c r="AC10" i="37"/>
  <c r="AC21" i="37"/>
  <c r="W21" i="37"/>
  <c r="U35" i="37"/>
  <c r="AB25" i="37"/>
  <c r="AB21" i="37"/>
  <c r="U21" i="37"/>
  <c r="S40" i="37"/>
  <c r="AA11" i="37"/>
  <c r="S10" i="37"/>
  <c r="AC45" i="34"/>
  <c r="AA40" i="34"/>
  <c r="W33" i="34"/>
  <c r="AA33" i="34"/>
  <c r="U44" i="34"/>
  <c r="AA27" i="34"/>
  <c r="J25" i="34"/>
  <c r="H25" i="34"/>
  <c r="AB25" i="34" s="1"/>
  <c r="F25" i="34"/>
  <c r="J23" i="34"/>
  <c r="W23" i="34" s="1"/>
  <c r="F23" i="34"/>
  <c r="H23" i="34"/>
  <c r="AB23" i="34" s="1"/>
  <c r="U10" i="34"/>
  <c r="W44" i="34"/>
  <c r="W29" i="34"/>
  <c r="AC21" i="34"/>
  <c r="W21" i="34"/>
  <c r="AB21" i="34"/>
  <c r="U21" i="34"/>
  <c r="U19" i="34"/>
  <c r="AB41" i="34"/>
  <c r="S13" i="34"/>
  <c r="S10" i="34"/>
  <c r="U39" i="33"/>
  <c r="U37" i="33"/>
  <c r="S35" i="33"/>
  <c r="W34" i="33"/>
  <c r="AB41" i="33"/>
  <c r="U46" i="33"/>
  <c r="U35" i="33"/>
  <c r="AB34" i="33"/>
  <c r="H25" i="33"/>
  <c r="AB25" i="33" s="1"/>
  <c r="J25" i="33"/>
  <c r="W25" i="33" s="1"/>
  <c r="G87" i="33"/>
  <c r="H87" i="33" s="1"/>
  <c r="I87" i="33" s="1"/>
  <c r="J87" i="33" s="1"/>
  <c r="K87" i="33" s="1"/>
  <c r="L87" i="33" s="1"/>
  <c r="M87" i="33" s="1"/>
  <c r="F25" i="33"/>
  <c r="J23" i="33"/>
  <c r="AC23" i="33" s="1"/>
  <c r="F23" i="33"/>
  <c r="H23" i="33"/>
  <c r="AB23" i="33" s="1"/>
  <c r="U19" i="33"/>
  <c r="F17" i="33"/>
  <c r="S17" i="33" s="1"/>
  <c r="H17" i="33"/>
  <c r="J17" i="33"/>
  <c r="AC17" i="33" s="1"/>
  <c r="AC11" i="33"/>
  <c r="S10" i="33"/>
  <c r="W10" i="33"/>
  <c r="AC21" i="33"/>
  <c r="W21" i="33"/>
  <c r="W14" i="33"/>
  <c r="AB21" i="33"/>
  <c r="U21" i="33"/>
  <c r="AA21" i="33"/>
  <c r="S21" i="33"/>
  <c r="AA44" i="33"/>
  <c r="AA36" i="33"/>
  <c r="S44" i="21"/>
  <c r="W39" i="21"/>
  <c r="AC34" i="21"/>
  <c r="AA37" i="21"/>
  <c r="W28" i="21"/>
  <c r="F85" i="21"/>
  <c r="G85" i="21" s="1"/>
  <c r="J23" i="21"/>
  <c r="W23" i="21" s="1"/>
  <c r="F23" i="21"/>
  <c r="S23" i="21" s="1"/>
  <c r="H23" i="21"/>
  <c r="AA17" i="21"/>
  <c r="F15" i="21"/>
  <c r="S15" i="21" s="1"/>
  <c r="F77" i="21"/>
  <c r="G77" i="21" s="1"/>
  <c r="J15" i="21"/>
  <c r="AC15" i="21" s="1"/>
  <c r="H15" i="21"/>
  <c r="AB11" i="21"/>
  <c r="AA11" i="21"/>
  <c r="AC23" i="21"/>
  <c r="AC21" i="21"/>
  <c r="W21" i="21"/>
  <c r="AC19" i="21"/>
  <c r="AC38" i="21"/>
  <c r="AB21" i="21"/>
  <c r="U21" i="21"/>
  <c r="AA30" i="21"/>
  <c r="U33" i="40"/>
  <c r="S14" i="40"/>
  <c r="AB13" i="40"/>
  <c r="W11" i="40"/>
  <c r="U21" i="40"/>
  <c r="U25" i="40"/>
  <c r="F37" i="40"/>
  <c r="J37" i="40"/>
  <c r="H37" i="40"/>
  <c r="U37" i="40" s="1"/>
  <c r="F39" i="40"/>
  <c r="AA39" i="40" s="1"/>
  <c r="H39" i="40"/>
  <c r="AB39" i="40" s="1"/>
  <c r="J39" i="40"/>
  <c r="F98" i="40"/>
  <c r="G98" i="40" s="1"/>
  <c r="H98" i="40" s="1"/>
  <c r="I98" i="40" s="1"/>
  <c r="J98" i="40" s="1"/>
  <c r="K98" i="40" s="1"/>
  <c r="L98" i="40" s="1"/>
  <c r="M98" i="40" s="1"/>
  <c r="S30" i="40"/>
  <c r="F88" i="40"/>
  <c r="G88" i="40" s="1"/>
  <c r="F19" i="40"/>
  <c r="H19" i="40"/>
  <c r="AB19" i="40" s="1"/>
  <c r="J19" i="40"/>
  <c r="W17" i="40"/>
  <c r="AC17" i="40"/>
  <c r="F17" i="40"/>
  <c r="AA17" i="40" s="1"/>
  <c r="H17" i="40"/>
  <c r="U10" i="40"/>
  <c r="U27" i="40"/>
  <c r="AB27" i="40"/>
  <c r="S11" i="39"/>
  <c r="S29" i="39"/>
  <c r="U11" i="39"/>
  <c r="U31" i="39"/>
  <c r="AB31" i="39"/>
  <c r="M20" i="15"/>
  <c r="D96" i="9"/>
  <c r="M18" i="15"/>
  <c r="BA16" i="3"/>
  <c r="BA17" i="3"/>
  <c r="AZ17" i="3" s="1"/>
  <c r="F3" i="35"/>
  <c r="K1" i="43"/>
  <c r="K1" i="12"/>
  <c r="G1" i="44"/>
  <c r="AZ15" i="3"/>
  <c r="BK5" i="3"/>
  <c r="BD5" i="3"/>
  <c r="BL16" i="3"/>
  <c r="G28" i="12"/>
  <c r="G22" i="43"/>
  <c r="G26" i="12"/>
  <c r="D24" i="44"/>
  <c r="D26" i="44"/>
  <c r="G27" i="12"/>
  <c r="G23" i="43"/>
  <c r="G21" i="43"/>
  <c r="E11" i="46"/>
  <c r="E10" i="46"/>
  <c r="N8" i="46"/>
  <c r="N4" i="46"/>
  <c r="F47" i="46" s="1"/>
  <c r="H51" i="46" s="1"/>
  <c r="N1" i="46"/>
  <c r="M9" i="46"/>
  <c r="M2" i="46"/>
  <c r="N11" i="46"/>
  <c r="N9" i="46"/>
  <c r="F69" i="46"/>
  <c r="H75" i="46" s="1"/>
  <c r="M4" i="46"/>
  <c r="M12" i="46"/>
  <c r="M8" i="46"/>
  <c r="M3" i="46"/>
  <c r="M5" i="46"/>
  <c r="C6" i="46"/>
  <c r="H6" i="48"/>
  <c r="E9" i="46"/>
  <c r="H15" i="48"/>
  <c r="H5" i="48"/>
  <c r="H14" i="48"/>
  <c r="F38" i="46"/>
  <c r="F36" i="46"/>
  <c r="F34" i="46"/>
  <c r="J17" i="46"/>
  <c r="C17" i="46"/>
  <c r="F39" i="46"/>
  <c r="H13" i="48"/>
  <c r="H11" i="48"/>
  <c r="E8" i="46"/>
  <c r="C7" i="46" s="1"/>
  <c r="I17" i="46"/>
  <c r="E17" i="46"/>
  <c r="D71" i="46"/>
  <c r="D84" i="46"/>
  <c r="E80" i="46" s="1"/>
  <c r="B78" i="46" s="1"/>
  <c r="D69" i="46"/>
  <c r="E69" i="46" s="1"/>
  <c r="B67" i="46" s="1"/>
  <c r="E58" i="46"/>
  <c r="B56" i="46" s="1"/>
  <c r="A4" i="64"/>
  <c r="A4" i="51"/>
  <c r="B6" i="63" s="1"/>
  <c r="C51" i="10"/>
  <c r="H58" i="46"/>
  <c r="H62" i="46"/>
  <c r="I100" i="46"/>
  <c r="N100" i="46"/>
  <c r="H100" i="46"/>
  <c r="F108" i="46"/>
  <c r="H80" i="46"/>
  <c r="E100" i="46"/>
  <c r="G100" i="46"/>
  <c r="H84" i="46"/>
  <c r="H65" i="46"/>
  <c r="C100" i="46"/>
  <c r="J100" i="46"/>
  <c r="M100" i="46"/>
  <c r="U13" i="37"/>
  <c r="C25" i="9"/>
  <c r="AP7" i="1"/>
  <c r="AP9" i="1"/>
  <c r="AP8" i="1"/>
  <c r="I20" i="46"/>
  <c r="C46" i="36"/>
  <c r="D46" i="36" s="1"/>
  <c r="C48" i="35"/>
  <c r="C52" i="37"/>
  <c r="P24" i="46"/>
  <c r="B68" i="40" s="1"/>
  <c r="P25" i="46"/>
  <c r="P23" i="46"/>
  <c r="P21" i="46"/>
  <c r="P22" i="46"/>
  <c r="O19" i="46"/>
  <c r="H77" i="46"/>
  <c r="H69" i="46"/>
  <c r="H86" i="46"/>
  <c r="H82" i="46"/>
  <c r="H63" i="46"/>
  <c r="H59" i="46"/>
  <c r="H64" i="46"/>
  <c r="H60" i="46"/>
  <c r="H10" i="48"/>
  <c r="H87" i="46"/>
  <c r="H85" i="46"/>
  <c r="H83" i="46"/>
  <c r="K10" i="1"/>
  <c r="M10" i="1" s="1"/>
  <c r="O10" i="1" s="1"/>
  <c r="S13" i="1"/>
  <c r="R13" i="1"/>
  <c r="B6" i="1"/>
  <c r="E6" i="1" s="1"/>
  <c r="B10" i="1"/>
  <c r="E10" i="1" s="1"/>
  <c r="B8" i="1"/>
  <c r="E8" i="1" s="1"/>
  <c r="B12" i="1"/>
  <c r="E12" i="1" s="1"/>
  <c r="S12" i="1"/>
  <c r="K6" i="1"/>
  <c r="M6" i="1" s="1"/>
  <c r="O6" i="1" s="1"/>
  <c r="P11" i="1"/>
  <c r="G1" i="15"/>
  <c r="F66" i="36"/>
  <c r="H18" i="36"/>
  <c r="AB18" i="36" s="1"/>
  <c r="U16" i="36"/>
  <c r="S25" i="36"/>
  <c r="U23" i="36"/>
  <c r="AC27" i="36"/>
  <c r="W28" i="36"/>
  <c r="AA32" i="36"/>
  <c r="AA22" i="36"/>
  <c r="U10" i="36"/>
  <c r="W29" i="36"/>
  <c r="W8" i="36"/>
  <c r="AC30" i="35"/>
  <c r="U24" i="35"/>
  <c r="W32" i="35"/>
  <c r="U32" i="35"/>
  <c r="W22" i="35"/>
  <c r="W34" i="35"/>
  <c r="S32" i="35"/>
  <c r="W35" i="37"/>
  <c r="AC33" i="37"/>
  <c r="U33" i="37"/>
  <c r="AA13" i="37"/>
  <c r="W38" i="37"/>
  <c r="W36" i="37"/>
  <c r="W13" i="37"/>
  <c r="U38" i="37"/>
  <c r="AA31" i="34"/>
  <c r="W47" i="34"/>
  <c r="AB29" i="34"/>
  <c r="AB47" i="34"/>
  <c r="AB13" i="34"/>
  <c r="AC13" i="34"/>
  <c r="S47" i="34"/>
  <c r="AA29" i="34"/>
  <c r="S8" i="34"/>
  <c r="AC25" i="33"/>
  <c r="AB42" i="33"/>
  <c r="AB12" i="33"/>
  <c r="S15" i="33"/>
  <c r="S39" i="21"/>
  <c r="AB25" i="21"/>
  <c r="W25" i="21"/>
  <c r="AA25" i="21"/>
  <c r="AC37" i="21"/>
  <c r="AA15" i="21"/>
  <c r="G96" i="40"/>
  <c r="J27" i="40"/>
  <c r="AC27" i="40" s="1"/>
  <c r="S34" i="40"/>
  <c r="U38" i="40"/>
  <c r="S40" i="40"/>
  <c r="G105" i="39"/>
  <c r="J31" i="39"/>
  <c r="W31" i="39" s="1"/>
  <c r="AB33" i="39"/>
  <c r="AC46" i="39"/>
  <c r="S34" i="39"/>
  <c r="W36" i="39"/>
  <c r="W16" i="39"/>
  <c r="S41" i="39"/>
  <c r="AA46" i="39"/>
  <c r="W10" i="39"/>
  <c r="W11" i="39"/>
  <c r="W40" i="39"/>
  <c r="S32" i="40"/>
  <c r="C27" i="39"/>
  <c r="C17" i="40"/>
  <c r="C19" i="40"/>
  <c r="C17" i="39"/>
  <c r="C21" i="39"/>
  <c r="C23" i="40"/>
  <c r="B51" i="46"/>
  <c r="B55" i="46"/>
  <c r="B62" i="46"/>
  <c r="B66" i="46"/>
  <c r="B53" i="46"/>
  <c r="D24" i="15"/>
  <c r="S14" i="36"/>
  <c r="AB20" i="36"/>
  <c r="AA20" i="36"/>
  <c r="AC14" i="36"/>
  <c r="W14" i="36"/>
  <c r="U18" i="36"/>
  <c r="AA26" i="35"/>
  <c r="U26" i="35"/>
  <c r="AB26" i="35"/>
  <c r="W26" i="35"/>
  <c r="AC26" i="35"/>
  <c r="S19" i="37"/>
  <c r="AB19" i="37"/>
  <c r="U19" i="37"/>
  <c r="AC17" i="37"/>
  <c r="AA25" i="34"/>
  <c r="S25" i="34"/>
  <c r="W25" i="34"/>
  <c r="AC25" i="34"/>
  <c r="U23" i="34"/>
  <c r="AA23" i="34"/>
  <c r="S23" i="34"/>
  <c r="AA25" i="33"/>
  <c r="S25" i="33"/>
  <c r="U23" i="33"/>
  <c r="W23" i="33"/>
  <c r="S23" i="33"/>
  <c r="AA23" i="33"/>
  <c r="W17" i="33"/>
  <c r="U17" i="33"/>
  <c r="AB17" i="33"/>
  <c r="U23" i="21"/>
  <c r="AB23" i="21"/>
  <c r="AA23" i="21"/>
  <c r="U15" i="21"/>
  <c r="AB15" i="21"/>
  <c r="W15" i="21"/>
  <c r="U39" i="40"/>
  <c r="AC39" i="40"/>
  <c r="W39" i="40"/>
  <c r="S39" i="40"/>
  <c r="AB37" i="40"/>
  <c r="AA37" i="40"/>
  <c r="S37" i="40"/>
  <c r="AB29" i="40"/>
  <c r="W19" i="40"/>
  <c r="AC19" i="40"/>
  <c r="AA19" i="40"/>
  <c r="S19" i="40"/>
  <c r="W27" i="40"/>
  <c r="E5" i="6"/>
  <c r="AZ16" i="3"/>
  <c r="H72" i="46"/>
  <c r="A9" i="64"/>
  <c r="A9" i="51"/>
  <c r="B9" i="63" s="1"/>
  <c r="E46" i="36"/>
  <c r="F46" i="36" s="1"/>
  <c r="G46" i="36" s="1"/>
  <c r="G66" i="36"/>
  <c r="J18" i="36"/>
  <c r="W18" i="36" s="1"/>
  <c r="AC18" i="36"/>
  <c r="AG6" i="1"/>
  <c r="L20" i="6"/>
  <c r="L19" i="6"/>
  <c r="C45" i="9"/>
  <c r="H14" i="66" s="1"/>
  <c r="B7" i="66" s="1"/>
  <c r="K31" i="9"/>
  <c r="K32" i="9" s="1"/>
  <c r="N76" i="9"/>
  <c r="C46" i="9"/>
  <c r="K33" i="9" s="1"/>
  <c r="F31" i="15"/>
  <c r="B14" i="67"/>
  <c r="F18" i="44"/>
  <c r="F8" i="67"/>
  <c r="E12" i="67"/>
  <c r="F13" i="67"/>
  <c r="J36" i="15"/>
  <c r="B11" i="67"/>
  <c r="M26" i="15"/>
  <c r="F36" i="15"/>
  <c r="M9" i="15"/>
  <c r="F26" i="15"/>
  <c r="M8" i="15"/>
  <c r="F7" i="15"/>
  <c r="F40" i="15"/>
  <c r="E8" i="67"/>
  <c r="F37" i="44"/>
  <c r="F37" i="15"/>
  <c r="M8" i="44"/>
  <c r="F13" i="15"/>
  <c r="F9" i="67"/>
  <c r="E9" i="67"/>
  <c r="N3" i="65"/>
  <c r="B13" i="67"/>
  <c r="F12" i="67"/>
  <c r="E13" i="67"/>
  <c r="AE11" i="1"/>
  <c r="F10" i="67"/>
  <c r="B12" i="67"/>
  <c r="E11" i="67"/>
  <c r="F39" i="44"/>
  <c r="F11" i="67"/>
  <c r="L47" i="15"/>
  <c r="M28" i="15"/>
  <c r="B10" i="67"/>
  <c r="F14" i="67"/>
  <c r="M6" i="15"/>
  <c r="M24" i="15"/>
  <c r="L48" i="15"/>
  <c r="E10" i="67"/>
  <c r="F28" i="44"/>
  <c r="F42" i="15"/>
  <c r="B8" i="67"/>
  <c r="M10" i="44"/>
  <c r="F38" i="44"/>
  <c r="F43" i="15"/>
  <c r="B9" i="67"/>
  <c r="F16" i="15"/>
  <c r="E14" i="67"/>
  <c r="J17" i="44"/>
  <c r="M29" i="15"/>
  <c r="N7" i="65"/>
  <c r="D47" i="46" l="1"/>
  <c r="D52" i="46"/>
  <c r="E16" i="52"/>
  <c r="L100" i="46"/>
  <c r="L27" i="6"/>
  <c r="G13" i="3"/>
  <c r="AB9" i="35"/>
  <c r="U9" i="35"/>
  <c r="U12" i="35"/>
  <c r="AB12" i="35"/>
  <c r="W33" i="36"/>
  <c r="AC33" i="36"/>
  <c r="U27" i="37"/>
  <c r="AB27" i="37"/>
  <c r="S33" i="39"/>
  <c r="AA33" i="39"/>
  <c r="U46" i="39"/>
  <c r="AB46" i="39"/>
  <c r="S39" i="39"/>
  <c r="AA39" i="39"/>
  <c r="AA16" i="40"/>
  <c r="S16" i="40"/>
  <c r="AZ553" i="3"/>
  <c r="AA14" i="33"/>
  <c r="S14" i="33"/>
  <c r="W12" i="37"/>
  <c r="AC12" i="37"/>
  <c r="D65" i="40"/>
  <c r="C67" i="40"/>
  <c r="M18" i="72"/>
  <c r="F32" i="71"/>
  <c r="F59" i="71" s="1"/>
  <c r="F28" i="71"/>
  <c r="F32" i="70"/>
  <c r="F59" i="70" s="1"/>
  <c r="F28" i="70"/>
  <c r="F32" i="69"/>
  <c r="F59" i="69" s="1"/>
  <c r="F28" i="69"/>
  <c r="M18" i="71"/>
  <c r="M18" i="70"/>
  <c r="M18" i="69"/>
  <c r="F32" i="72"/>
  <c r="F59" i="72" s="1"/>
  <c r="F28" i="72"/>
  <c r="AZ487" i="3"/>
  <c r="AZ496" i="3"/>
  <c r="AZ497" i="3"/>
  <c r="AZ518" i="3"/>
  <c r="AZ552" i="3"/>
  <c r="AZ567" i="3"/>
  <c r="BA570" i="3"/>
  <c r="AZ570" i="3" s="1"/>
  <c r="BI5" i="3"/>
  <c r="BE5" i="3"/>
  <c r="E9" i="12"/>
  <c r="BA556" i="3"/>
  <c r="AZ556" i="3" s="1"/>
  <c r="BL545" i="3"/>
  <c r="BA545" i="3"/>
  <c r="AZ545" i="3" s="1"/>
  <c r="BL538" i="3"/>
  <c r="BA537" i="3"/>
  <c r="BL535" i="3"/>
  <c r="BA535" i="3"/>
  <c r="BA529" i="3"/>
  <c r="BL524" i="3"/>
  <c r="BA523" i="3"/>
  <c r="BL520" i="3"/>
  <c r="BL512" i="3"/>
  <c r="BA503" i="3"/>
  <c r="BL501" i="3"/>
  <c r="BA501" i="3"/>
  <c r="BL494" i="3"/>
  <c r="BA491" i="3"/>
  <c r="BA483" i="3"/>
  <c r="BB5" i="3"/>
  <c r="BC5" i="3"/>
  <c r="F34" i="15"/>
  <c r="F61" i="15" s="1"/>
  <c r="F34" i="71"/>
  <c r="F61" i="71" s="1"/>
  <c r="M20" i="71"/>
  <c r="F34" i="70"/>
  <c r="F61" i="70" s="1"/>
  <c r="M20" i="70"/>
  <c r="F34" i="69"/>
  <c r="F61" i="69" s="1"/>
  <c r="M20" i="69"/>
  <c r="F34" i="72"/>
  <c r="F61" i="72" s="1"/>
  <c r="M20" i="72"/>
  <c r="E22" i="6"/>
  <c r="B73" i="39"/>
  <c r="AA11" i="35"/>
  <c r="AA12" i="36"/>
  <c r="H66" i="46"/>
  <c r="F28" i="15"/>
  <c r="AB15" i="39"/>
  <c r="AA21" i="39"/>
  <c r="W21" i="40"/>
  <c r="AA23" i="40"/>
  <c r="U35" i="40"/>
  <c r="W25" i="40"/>
  <c r="S35" i="40"/>
  <c r="W33" i="40"/>
  <c r="W44" i="21"/>
  <c r="AC11" i="21"/>
  <c r="AC46" i="21"/>
  <c r="S42" i="21"/>
  <c r="W43" i="21"/>
  <c r="U25" i="33"/>
  <c r="AB15" i="33"/>
  <c r="W39" i="33"/>
  <c r="U36" i="33"/>
  <c r="AC12" i="33"/>
  <c r="AA41" i="34"/>
  <c r="U27" i="34"/>
  <c r="W19" i="34"/>
  <c r="W37" i="34"/>
  <c r="W10" i="34"/>
  <c r="U34" i="34"/>
  <c r="U8" i="37"/>
  <c r="S30" i="35"/>
  <c r="U33" i="35"/>
  <c r="AB12" i="36"/>
  <c r="S23" i="36"/>
  <c r="F30" i="44"/>
  <c r="M20" i="44"/>
  <c r="F70" i="9"/>
  <c r="F32" i="15"/>
  <c r="F59" i="15" s="1"/>
  <c r="U11" i="37"/>
  <c r="W14" i="35"/>
  <c r="AA15" i="34"/>
  <c r="F97" i="39"/>
  <c r="G97" i="39" s="1"/>
  <c r="H23" i="39"/>
  <c r="AC16" i="40"/>
  <c r="AA40" i="21"/>
  <c r="AB19" i="39"/>
  <c r="AB37" i="39"/>
  <c r="S33" i="40"/>
  <c r="AC14" i="40"/>
  <c r="F71" i="9"/>
  <c r="F27" i="43"/>
  <c r="J41" i="40"/>
  <c r="AC41" i="40" s="1"/>
  <c r="J27" i="39"/>
  <c r="AC27" i="39" s="1"/>
  <c r="F27" i="39"/>
  <c r="J14" i="39"/>
  <c r="AC14" i="39" s="1"/>
  <c r="S34" i="21"/>
  <c r="F36" i="44"/>
  <c r="BA481" i="3"/>
  <c r="J37" i="39"/>
  <c r="W37" i="39" s="1"/>
  <c r="E128" i="39"/>
  <c r="F128" i="39" s="1"/>
  <c r="G128" i="39" s="1"/>
  <c r="H128" i="39" s="1"/>
  <c r="I128" i="39" s="1"/>
  <c r="J128" i="39" s="1"/>
  <c r="K128" i="39" s="1"/>
  <c r="L128" i="39" s="1"/>
  <c r="M128" i="39" s="1"/>
  <c r="J33" i="39"/>
  <c r="W33" i="39" s="1"/>
  <c r="H33" i="36"/>
  <c r="U33" i="36" s="1"/>
  <c r="AB34" i="21"/>
  <c r="S45" i="34"/>
  <c r="H43" i="39"/>
  <c r="U43" i="39" s="1"/>
  <c r="J19" i="39"/>
  <c r="F19" i="39"/>
  <c r="AC8" i="33"/>
  <c r="W44" i="33"/>
  <c r="AC10" i="36"/>
  <c r="AA13" i="40"/>
  <c r="AA43" i="21"/>
  <c r="AB16" i="35"/>
  <c r="AZ374" i="3"/>
  <c r="AZ373" i="3"/>
  <c r="AZ331" i="3"/>
  <c r="AZ328" i="3"/>
  <c r="AZ299" i="3"/>
  <c r="AZ126" i="3"/>
  <c r="AZ379" i="3"/>
  <c r="AZ361" i="3"/>
  <c r="AZ345" i="3"/>
  <c r="AZ329" i="3"/>
  <c r="AZ305" i="3"/>
  <c r="AZ303" i="3"/>
  <c r="AZ300" i="3"/>
  <c r="AB10" i="37"/>
  <c r="F12" i="37"/>
  <c r="H12" i="37"/>
  <c r="S39" i="33"/>
  <c r="S27" i="37"/>
  <c r="BL568" i="3"/>
  <c r="AZ568" i="3" s="1"/>
  <c r="S19" i="21"/>
  <c r="U36" i="37"/>
  <c r="W31" i="34"/>
  <c r="AC14" i="21"/>
  <c r="S46" i="21"/>
  <c r="W46" i="33"/>
  <c r="J30" i="33"/>
  <c r="J28" i="33"/>
  <c r="AB42" i="34"/>
  <c r="W40" i="33"/>
  <c r="U9" i="34"/>
  <c r="AB8" i="36"/>
  <c r="U29" i="36"/>
  <c r="W33" i="33"/>
  <c r="U33" i="33"/>
  <c r="S34" i="34"/>
  <c r="W24" i="35"/>
  <c r="W22" i="36"/>
  <c r="G27" i="6"/>
  <c r="F9" i="34"/>
  <c r="F9" i="35"/>
  <c r="J9" i="35"/>
  <c r="F12" i="35"/>
  <c r="J12" i="35"/>
  <c r="G567" i="3"/>
  <c r="BL565" i="3"/>
  <c r="G565" i="3"/>
  <c r="G563" i="3"/>
  <c r="G562" i="3"/>
  <c r="BL561" i="3"/>
  <c r="G561" i="3"/>
  <c r="G560" i="3"/>
  <c r="G555" i="3"/>
  <c r="G554" i="3"/>
  <c r="G551" i="3"/>
  <c r="BL550" i="3"/>
  <c r="G550" i="3"/>
  <c r="BL549" i="3"/>
  <c r="G549" i="3"/>
  <c r="BL547" i="3"/>
  <c r="G543" i="3"/>
  <c r="G534" i="3"/>
  <c r="G526" i="3"/>
  <c r="G517" i="3"/>
  <c r="G508" i="3"/>
  <c r="G498" i="3"/>
  <c r="C92" i="9"/>
  <c r="AZ417" i="3"/>
  <c r="AZ427" i="3"/>
  <c r="AZ219" i="3"/>
  <c r="AZ251" i="3"/>
  <c r="AZ283" i="3"/>
  <c r="BA389" i="3"/>
  <c r="AZ389" i="3" s="1"/>
  <c r="BA390" i="3"/>
  <c r="AZ390" i="3" s="1"/>
  <c r="BA391" i="3"/>
  <c r="AZ391" i="3" s="1"/>
  <c r="G394" i="3"/>
  <c r="G395" i="3"/>
  <c r="BL395" i="3"/>
  <c r="BA396" i="3"/>
  <c r="AZ396" i="3" s="1"/>
  <c r="BL398" i="3"/>
  <c r="AZ398" i="3" s="1"/>
  <c r="G401" i="3"/>
  <c r="G402" i="3"/>
  <c r="BL402" i="3"/>
  <c r="G405" i="3"/>
  <c r="BL405" i="3"/>
  <c r="AZ405" i="3" s="1"/>
  <c r="BA406" i="3"/>
  <c r="AZ406" i="3" s="1"/>
  <c r="BA407" i="3"/>
  <c r="AZ407" i="3" s="1"/>
  <c r="G410" i="3"/>
  <c r="G411" i="3"/>
  <c r="BL411" i="3"/>
  <c r="AZ411" i="3" s="1"/>
  <c r="BA412" i="3"/>
  <c r="AZ412" i="3" s="1"/>
  <c r="BL414" i="3"/>
  <c r="AZ414" i="3" s="1"/>
  <c r="G417" i="3"/>
  <c r="BL417" i="3"/>
  <c r="G420" i="3"/>
  <c r="BL420" i="3"/>
  <c r="AZ420" i="3" s="1"/>
  <c r="BA421" i="3"/>
  <c r="AZ421" i="3" s="1"/>
  <c r="BA422" i="3"/>
  <c r="AZ422" i="3" s="1"/>
  <c r="BA423" i="3"/>
  <c r="AZ423" i="3" s="1"/>
  <c r="G426" i="3"/>
  <c r="G427" i="3"/>
  <c r="BL427" i="3"/>
  <c r="G430" i="3"/>
  <c r="G431" i="3"/>
  <c r="G432" i="3"/>
  <c r="BL432" i="3"/>
  <c r="BL434" i="3"/>
  <c r="AZ434" i="3" s="1"/>
  <c r="BA435" i="3"/>
  <c r="AZ435" i="3" s="1"/>
  <c r="BA436" i="3"/>
  <c r="AZ436" i="3" s="1"/>
  <c r="BL438" i="3"/>
  <c r="AZ438" i="3" s="1"/>
  <c r="G441" i="3"/>
  <c r="G442" i="3"/>
  <c r="G443" i="3"/>
  <c r="BL443" i="3"/>
  <c r="AZ443" i="3" s="1"/>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AZ462" i="3" s="1"/>
  <c r="G465" i="3"/>
  <c r="BL465" i="3"/>
  <c r="BL467" i="3"/>
  <c r="AZ467" i="3" s="1"/>
  <c r="BA468" i="3"/>
  <c r="AZ468" i="3" s="1"/>
  <c r="BA469" i="3"/>
  <c r="AZ469" i="3" s="1"/>
  <c r="BL471" i="3"/>
  <c r="AZ471" i="3" s="1"/>
  <c r="BA472" i="3"/>
  <c r="AZ472" i="3" s="1"/>
  <c r="BL474" i="3"/>
  <c r="AZ474" i="3" s="1"/>
  <c r="G477" i="3"/>
  <c r="G478" i="3"/>
  <c r="BL478" i="3"/>
  <c r="AZ478" i="3" s="1"/>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BL382" i="3"/>
  <c r="AZ382" i="3" s="1"/>
  <c r="BA384" i="3"/>
  <c r="AZ384" i="3" s="1"/>
  <c r="G387" i="3"/>
  <c r="BL387" i="3"/>
  <c r="AZ387" i="3" s="1"/>
  <c r="BL205" i="3"/>
  <c r="AZ205" i="3" s="1"/>
  <c r="BA206" i="3"/>
  <c r="AZ206" i="3" s="1"/>
  <c r="BA207" i="3"/>
  <c r="AZ207" i="3" s="1"/>
  <c r="BL209" i="3"/>
  <c r="AZ209" i="3" s="1"/>
  <c r="BA210" i="3"/>
  <c r="AZ210" i="3" s="1"/>
  <c r="BL212" i="3"/>
  <c r="AZ212" i="3" s="1"/>
  <c r="G215" i="3"/>
  <c r="G216" i="3"/>
  <c r="BL216" i="3"/>
  <c r="AZ216" i="3" s="1"/>
  <c r="G219" i="3"/>
  <c r="BL219" i="3"/>
  <c r="BL221" i="3"/>
  <c r="AZ221" i="3" s="1"/>
  <c r="BA222" i="3"/>
  <c r="AZ222" i="3" s="1"/>
  <c r="BA223" i="3"/>
  <c r="AZ223" i="3" s="1"/>
  <c r="BL225" i="3"/>
  <c r="AZ225" i="3" s="1"/>
  <c r="BA226" i="3"/>
  <c r="AZ226" i="3" s="1"/>
  <c r="BL228" i="3"/>
  <c r="AZ228" i="3" s="1"/>
  <c r="G231" i="3"/>
  <c r="G232" i="3"/>
  <c r="BL232" i="3"/>
  <c r="AZ232" i="3" s="1"/>
  <c r="G235" i="3"/>
  <c r="BL235" i="3"/>
  <c r="AZ235" i="3" s="1"/>
  <c r="BL237" i="3"/>
  <c r="AZ237" i="3" s="1"/>
  <c r="BA238" i="3"/>
  <c r="AZ238" i="3" s="1"/>
  <c r="BA239" i="3"/>
  <c r="AZ239" i="3" s="1"/>
  <c r="BL241" i="3"/>
  <c r="AZ241" i="3" s="1"/>
  <c r="BA242" i="3"/>
  <c r="AZ242" i="3" s="1"/>
  <c r="BL244" i="3"/>
  <c r="AZ244" i="3" s="1"/>
  <c r="G247" i="3"/>
  <c r="G248" i="3"/>
  <c r="BL248" i="3"/>
  <c r="AZ248" i="3" s="1"/>
  <c r="G251" i="3"/>
  <c r="BL251" i="3"/>
  <c r="BL253" i="3"/>
  <c r="AZ253" i="3" s="1"/>
  <c r="BA254" i="3"/>
  <c r="AZ254" i="3" s="1"/>
  <c r="BA255" i="3"/>
  <c r="AZ255" i="3" s="1"/>
  <c r="BL257" i="3"/>
  <c r="AZ257" i="3" s="1"/>
  <c r="BA258" i="3"/>
  <c r="AZ258" i="3" s="1"/>
  <c r="BL260" i="3"/>
  <c r="AZ260" i="3" s="1"/>
  <c r="G263" i="3"/>
  <c r="G264" i="3"/>
  <c r="BL264" i="3"/>
  <c r="AZ264" i="3" s="1"/>
  <c r="G267" i="3"/>
  <c r="BL267" i="3"/>
  <c r="AZ267" i="3" s="1"/>
  <c r="G270" i="3"/>
  <c r="G271" i="3"/>
  <c r="BL271" i="3"/>
  <c r="AZ271" i="3" s="1"/>
  <c r="BA272" i="3"/>
  <c r="AZ272" i="3" s="1"/>
  <c r="BA273" i="3"/>
  <c r="AZ273" i="3" s="1"/>
  <c r="BA274" i="3"/>
  <c r="AZ274" i="3" s="1"/>
  <c r="BL276" i="3"/>
  <c r="AZ276" i="3" s="1"/>
  <c r="BA277" i="3"/>
  <c r="AZ277" i="3" s="1"/>
  <c r="BA278" i="3"/>
  <c r="AZ278" i="3" s="1"/>
  <c r="G281" i="3"/>
  <c r="G282" i="3"/>
  <c r="G283" i="3"/>
  <c r="BL283" i="3"/>
  <c r="G286" i="3"/>
  <c r="G287" i="3"/>
  <c r="BL287" i="3"/>
  <c r="AZ287" i="3" s="1"/>
  <c r="BA288" i="3"/>
  <c r="AZ288" i="3" s="1"/>
  <c r="BA290" i="3"/>
  <c r="AZ290" i="3" s="1"/>
  <c r="BL292" i="3"/>
  <c r="AZ292" i="3" s="1"/>
  <c r="BA293" i="3"/>
  <c r="AZ293" i="3" s="1"/>
  <c r="BL295" i="3"/>
  <c r="AZ295" i="3" s="1"/>
  <c r="BA296" i="3"/>
  <c r="AZ296" i="3" s="1"/>
  <c r="G115" i="3"/>
  <c r="G118" i="3"/>
  <c r="G121" i="3"/>
  <c r="G122" i="3"/>
  <c r="BL124" i="3"/>
  <c r="AZ124" i="3" s="1"/>
  <c r="BA125" i="3"/>
  <c r="AZ125" i="3" s="1"/>
  <c r="BL126" i="3"/>
  <c r="BA128" i="3"/>
  <c r="AZ128" i="3" s="1"/>
  <c r="G131" i="3"/>
  <c r="G134" i="3"/>
  <c r="G137" i="3"/>
  <c r="G138" i="3"/>
  <c r="BL140" i="3"/>
  <c r="AZ140" i="3" s="1"/>
  <c r="BA141" i="3"/>
  <c r="AZ141" i="3" s="1"/>
  <c r="BL142" i="3"/>
  <c r="AZ142" i="3" s="1"/>
  <c r="BA144" i="3"/>
  <c r="AZ144" i="3" s="1"/>
  <c r="G147" i="3"/>
  <c r="G150" i="3"/>
  <c r="G152" i="3"/>
  <c r="G153" i="3"/>
  <c r="G156" i="3"/>
  <c r="BL156" i="3"/>
  <c r="BA158" i="3"/>
  <c r="AZ158" i="3" s="1"/>
  <c r="BL159" i="3"/>
  <c r="AZ159" i="3" s="1"/>
  <c r="BA160" i="3"/>
  <c r="AZ160" i="3" s="1"/>
  <c r="BL161" i="3"/>
  <c r="AZ161" i="3" s="1"/>
  <c r="BA163" i="3"/>
  <c r="AZ163" i="3" s="1"/>
  <c r="BA164" i="3"/>
  <c r="AZ164" i="3" s="1"/>
  <c r="BL165" i="3"/>
  <c r="AZ165" i="3" s="1"/>
  <c r="G169" i="3"/>
  <c r="G172" i="3"/>
  <c r="BL172" i="3"/>
  <c r="BA174" i="3"/>
  <c r="AZ174" i="3" s="1"/>
  <c r="BL175" i="3"/>
  <c r="AZ175" i="3" s="1"/>
  <c r="BA176" i="3"/>
  <c r="AZ176" i="3" s="1"/>
  <c r="BA177" i="3"/>
  <c r="AZ177" i="3" s="1"/>
  <c r="BL178" i="3"/>
  <c r="AZ178" i="3" s="1"/>
  <c r="AZ156" i="3"/>
  <c r="AZ172" i="3"/>
  <c r="AZ202" i="3"/>
  <c r="AZ28" i="3"/>
  <c r="AZ37" i="3"/>
  <c r="AZ85" i="3"/>
  <c r="AZ95" i="3"/>
  <c r="AZ104" i="3"/>
  <c r="D34" i="59"/>
  <c r="C35" i="59"/>
  <c r="G183" i="3"/>
  <c r="G184" i="3"/>
  <c r="G187" i="3"/>
  <c r="G188" i="3"/>
  <c r="G191" i="3"/>
  <c r="G192" i="3"/>
  <c r="G195" i="3"/>
  <c r="G196" i="3"/>
  <c r="G199" i="3"/>
  <c r="G200" i="3"/>
  <c r="G202" i="3"/>
  <c r="BL202" i="3"/>
  <c r="G21" i="3"/>
  <c r="BL21" i="3"/>
  <c r="AZ21" i="3" s="1"/>
  <c r="BA22" i="3"/>
  <c r="AZ22" i="3" s="1"/>
  <c r="BA23" i="3"/>
  <c r="AZ23" i="3" s="1"/>
  <c r="BA24" i="3"/>
  <c r="AZ24" i="3" s="1"/>
  <c r="G27" i="3"/>
  <c r="G28" i="3"/>
  <c r="BL28" i="3"/>
  <c r="BA29" i="3"/>
  <c r="AZ29" i="3" s="1"/>
  <c r="BL31" i="3"/>
  <c r="AZ31" i="3" s="1"/>
  <c r="G34" i="3"/>
  <c r="BL34" i="3"/>
  <c r="AZ34" i="3" s="1"/>
  <c r="G37" i="3"/>
  <c r="BL37" i="3"/>
  <c r="BA38" i="3"/>
  <c r="AZ38" i="3" s="1"/>
  <c r="BA39" i="3"/>
  <c r="AZ39" i="3" s="1"/>
  <c r="BA40" i="3"/>
  <c r="AZ40" i="3" s="1"/>
  <c r="BA42" i="3"/>
  <c r="AZ42" i="3" s="1"/>
  <c r="BA43" i="3"/>
  <c r="AZ43" i="3" s="1"/>
  <c r="G46" i="3"/>
  <c r="BL46" i="3"/>
  <c r="AZ46" i="3" s="1"/>
  <c r="BL48" i="3"/>
  <c r="AZ48" i="3" s="1"/>
  <c r="BA49" i="3"/>
  <c r="AZ49" i="3" s="1"/>
  <c r="BL51" i="3"/>
  <c r="AZ51" i="3" s="1"/>
  <c r="BA52" i="3"/>
  <c r="AZ52" i="3" s="1"/>
  <c r="G55" i="3"/>
  <c r="G56" i="3"/>
  <c r="G57" i="3"/>
  <c r="BL57" i="3"/>
  <c r="AZ57" i="3" s="1"/>
  <c r="BA58" i="3"/>
  <c r="AZ58" i="3" s="1"/>
  <c r="BA59" i="3"/>
  <c r="AZ59" i="3" s="1"/>
  <c r="G62" i="3"/>
  <c r="BL62" i="3"/>
  <c r="AZ62" i="3" s="1"/>
  <c r="G65" i="3"/>
  <c r="BL65" i="3"/>
  <c r="AZ65" i="3" s="1"/>
  <c r="G68" i="3"/>
  <c r="BL68" i="3"/>
  <c r="AZ68" i="3" s="1"/>
  <c r="BA69" i="3"/>
  <c r="AZ69" i="3" s="1"/>
  <c r="BA70" i="3"/>
  <c r="AZ70" i="3" s="1"/>
  <c r="BA71" i="3"/>
  <c r="AZ71" i="3" s="1"/>
  <c r="G74" i="3"/>
  <c r="G75" i="3"/>
  <c r="BL75" i="3"/>
  <c r="AZ75" i="3" s="1"/>
  <c r="BA76" i="3"/>
  <c r="AZ76" i="3" s="1"/>
  <c r="BL78" i="3"/>
  <c r="AZ78" i="3" s="1"/>
  <c r="G81" i="3"/>
  <c r="BL81" i="3"/>
  <c r="AZ81" i="3" s="1"/>
  <c r="G84" i="3"/>
  <c r="G85" i="3"/>
  <c r="BL85" i="3"/>
  <c r="G88" i="3"/>
  <c r="BL88" i="3"/>
  <c r="AZ88" i="3" s="1"/>
  <c r="BA89" i="3"/>
  <c r="AZ89" i="3" s="1"/>
  <c r="BA90" i="3"/>
  <c r="AZ90" i="3" s="1"/>
  <c r="BA91" i="3"/>
  <c r="AZ91" i="3" s="1"/>
  <c r="G94" i="3"/>
  <c r="G95" i="3"/>
  <c r="BL95" i="3"/>
  <c r="BA96" i="3"/>
  <c r="AZ96" i="3" s="1"/>
  <c r="BL98" i="3"/>
  <c r="AZ98" i="3" s="1"/>
  <c r="G101" i="3"/>
  <c r="BL101" i="3"/>
  <c r="AZ101" i="3" s="1"/>
  <c r="G104" i="3"/>
  <c r="BL104" i="3"/>
  <c r="BA105" i="3"/>
  <c r="AZ105" i="3" s="1"/>
  <c r="BA106" i="3"/>
  <c r="AZ106" i="3" s="1"/>
  <c r="BA107" i="3"/>
  <c r="AZ107" i="3" s="1"/>
  <c r="G110" i="3"/>
  <c r="G111" i="3"/>
  <c r="BL111" i="3"/>
  <c r="AZ111" i="3" s="1"/>
  <c r="G1" i="71"/>
  <c r="G1" i="70"/>
  <c r="G1" i="69"/>
  <c r="G1" i="72"/>
  <c r="C42" i="1"/>
  <c r="C31" i="43" s="1"/>
  <c r="J51" i="72"/>
  <c r="J51" i="69"/>
  <c r="J51" i="71"/>
  <c r="J51" i="70"/>
  <c r="I20" i="57"/>
  <c r="C31" i="39"/>
  <c r="D44" i="59"/>
  <c r="P27" i="6"/>
  <c r="P50" i="59"/>
  <c r="AB9" i="59"/>
  <c r="Y3" i="59"/>
  <c r="Z3" i="59" s="1"/>
  <c r="Y11" i="59"/>
  <c r="Z11" i="59" s="1"/>
  <c r="AA9" i="59"/>
  <c r="X10" i="59"/>
  <c r="Y13" i="59"/>
  <c r="Z13" i="59" s="1"/>
  <c r="Y14" i="59"/>
  <c r="Z14" i="59" s="1"/>
  <c r="AB14" i="59"/>
  <c r="Y15" i="59"/>
  <c r="Z15" i="59" s="1"/>
  <c r="AB15" i="59"/>
  <c r="Y16" i="59"/>
  <c r="Z16" i="59" s="1"/>
  <c r="AB16" i="59"/>
  <c r="E18" i="59"/>
  <c r="E19" i="59" s="1"/>
  <c r="E20" i="59" s="1"/>
  <c r="U20" i="59" s="1"/>
  <c r="X18" i="59"/>
  <c r="AA18" i="59"/>
  <c r="X19" i="59"/>
  <c r="AA19" i="59"/>
  <c r="X20" i="59"/>
  <c r="AA20" i="59"/>
  <c r="X21" i="59"/>
  <c r="Y21" i="59"/>
  <c r="Z21" i="59" s="1"/>
  <c r="Y22" i="59"/>
  <c r="Z22" i="59" s="1"/>
  <c r="C27" i="59"/>
  <c r="B39" i="59"/>
  <c r="B40" i="59" s="1"/>
  <c r="S40" i="59" s="1"/>
  <c r="AC12" i="46"/>
  <c r="AG12" i="46"/>
  <c r="Z12" i="46"/>
  <c r="H1" i="65"/>
  <c r="T8" i="59"/>
  <c r="J51" i="15"/>
  <c r="C18" i="9"/>
  <c r="P75" i="15"/>
  <c r="AB43" i="39"/>
  <c r="S43" i="39"/>
  <c r="S23" i="39"/>
  <c r="L16" i="4"/>
  <c r="K17" i="4" s="1"/>
  <c r="A22" i="51" s="1"/>
  <c r="B16" i="63" s="1"/>
  <c r="AP6" i="1"/>
  <c r="C12" i="39"/>
  <c r="H52" i="46"/>
  <c r="E6" i="52"/>
  <c r="J42" i="39"/>
  <c r="F42" i="39"/>
  <c r="H42" i="39"/>
  <c r="AC33" i="39"/>
  <c r="W27" i="39"/>
  <c r="G83" i="39"/>
  <c r="U41" i="39"/>
  <c r="B13" i="52"/>
  <c r="AC31" i="39"/>
  <c r="S31" i="39"/>
  <c r="W29" i="39"/>
  <c r="U27" i="39"/>
  <c r="AB25" i="39"/>
  <c r="AC17" i="39"/>
  <c r="AB17" i="39"/>
  <c r="W41" i="39"/>
  <c r="AP10" i="1"/>
  <c r="G10" i="1"/>
  <c r="BP5" i="3"/>
  <c r="P6" i="1"/>
  <c r="H50" i="46"/>
  <c r="A18" i="64"/>
  <c r="B74" i="63" s="1"/>
  <c r="C53" i="10"/>
  <c r="A25" i="64" s="1"/>
  <c r="A18" i="51"/>
  <c r="B14" i="63" s="1"/>
  <c r="K5" i="54"/>
  <c r="L5" i="54"/>
  <c r="B39" i="63" s="1"/>
  <c r="T41" i="4"/>
  <c r="A17" i="51" s="1"/>
  <c r="B13" i="63" s="1"/>
  <c r="E8" i="52"/>
  <c r="E21" i="52"/>
  <c r="A11" i="55"/>
  <c r="B62" i="63" s="1"/>
  <c r="O40" i="9"/>
  <c r="R7" i="54" s="1"/>
  <c r="B52" i="63" s="1"/>
  <c r="E4" i="52"/>
  <c r="B11" i="52"/>
  <c r="B5" i="52"/>
  <c r="B22" i="52"/>
  <c r="B14" i="52"/>
  <c r="E7" i="52"/>
  <c r="L76" i="9"/>
  <c r="E5" i="52"/>
  <c r="B6" i="52"/>
  <c r="B16" i="52"/>
  <c r="B23" i="52"/>
  <c r="E10" i="52"/>
  <c r="E9" i="52"/>
  <c r="B8" i="52"/>
  <c r="B4" i="52"/>
  <c r="B9" i="52"/>
  <c r="B10" i="52"/>
  <c r="B7" i="52"/>
  <c r="E11" i="52"/>
  <c r="C72" i="39"/>
  <c r="D70" i="39"/>
  <c r="C36" i="44"/>
  <c r="F49" i="15"/>
  <c r="M7" i="15"/>
  <c r="J6" i="15" s="1"/>
  <c r="F63" i="15"/>
  <c r="Q72" i="15"/>
  <c r="L58" i="15"/>
  <c r="L59" i="15"/>
  <c r="C29" i="44"/>
  <c r="F70" i="15"/>
  <c r="F64" i="15"/>
  <c r="F67" i="15"/>
  <c r="C27" i="15"/>
  <c r="J57" i="15"/>
  <c r="J55" i="15" s="1"/>
  <c r="J58" i="15" s="1"/>
  <c r="Q51" i="15" s="1"/>
  <c r="I54" i="15"/>
  <c r="L56" i="15"/>
  <c r="H46" i="36"/>
  <c r="I46" i="36" s="1"/>
  <c r="J46" i="36" s="1"/>
  <c r="K46" i="36" s="1"/>
  <c r="L46" i="36" s="1"/>
  <c r="M46" i="36" s="1"/>
  <c r="N46" i="36" s="1"/>
  <c r="O46" i="36" s="1"/>
  <c r="N58" i="21"/>
  <c r="O58" i="21" s="1"/>
  <c r="AB28" i="34"/>
  <c r="U28" i="34"/>
  <c r="U45" i="39"/>
  <c r="AB45" i="39"/>
  <c r="AA47" i="39"/>
  <c r="S47" i="39"/>
  <c r="E59" i="34"/>
  <c r="F59" i="34" s="1"/>
  <c r="G59" i="34" s="1"/>
  <c r="H59" i="34" s="1"/>
  <c r="I59" i="34" s="1"/>
  <c r="J59" i="34" s="1"/>
  <c r="K59" i="34" s="1"/>
  <c r="L59" i="34" s="1"/>
  <c r="M59" i="34" s="1"/>
  <c r="N59" i="34" s="1"/>
  <c r="O59" i="34" s="1"/>
  <c r="AZ535" i="3"/>
  <c r="AZ501" i="3"/>
  <c r="D21" i="12"/>
  <c r="C21" i="12" s="1"/>
  <c r="D12" i="11"/>
  <c r="C12" i="11" s="1"/>
  <c r="D48" i="35"/>
  <c r="E48" i="35" s="1"/>
  <c r="F48" i="35" s="1"/>
  <c r="G48" i="35" s="1"/>
  <c r="H48" i="35" s="1"/>
  <c r="I48" i="35" s="1"/>
  <c r="J48" i="35" s="1"/>
  <c r="K48" i="35" s="1"/>
  <c r="L48" i="35" s="1"/>
  <c r="M48" i="35" s="1"/>
  <c r="N48" i="35" s="1"/>
  <c r="O48" i="35" s="1"/>
  <c r="AC37" i="40"/>
  <c r="W37" i="40"/>
  <c r="AC19" i="37"/>
  <c r="W19" i="37"/>
  <c r="AB11" i="34"/>
  <c r="U11" i="34"/>
  <c r="AB23" i="39"/>
  <c r="U23" i="39"/>
  <c r="AC42" i="40"/>
  <c r="W42" i="40"/>
  <c r="U40" i="40"/>
  <c r="AB40" i="40"/>
  <c r="AB47" i="39"/>
  <c r="U47" i="39"/>
  <c r="AC45" i="39"/>
  <c r="W45" i="39"/>
  <c r="AA45" i="39"/>
  <c r="S45" i="39"/>
  <c r="U16" i="39"/>
  <c r="AB16" i="39"/>
  <c r="AA14" i="39"/>
  <c r="S14" i="39"/>
  <c r="AB22" i="35"/>
  <c r="U22" i="35"/>
  <c r="S41" i="33"/>
  <c r="AA41" i="33"/>
  <c r="W21" i="39"/>
  <c r="AC21" i="39"/>
  <c r="W19" i="39"/>
  <c r="AC19" i="39"/>
  <c r="W35" i="34"/>
  <c r="AC35" i="34"/>
  <c r="W11" i="37"/>
  <c r="AC11" i="37"/>
  <c r="U23" i="37"/>
  <c r="S36" i="37"/>
  <c r="AA36" i="37"/>
  <c r="W41" i="34"/>
  <c r="AC41" i="34"/>
  <c r="AZ566" i="3"/>
  <c r="U14" i="33"/>
  <c r="AB14" i="33"/>
  <c r="AA19" i="34"/>
  <c r="S19" i="34"/>
  <c r="B70" i="46"/>
  <c r="B59" i="46"/>
  <c r="B73" i="46"/>
  <c r="C29" i="39"/>
  <c r="B64" i="46"/>
  <c r="J9" i="33"/>
  <c r="H9" i="33"/>
  <c r="F9" i="33"/>
  <c r="U33" i="34"/>
  <c r="AB33" i="34"/>
  <c r="F13" i="33"/>
  <c r="J13" i="33"/>
  <c r="H13" i="33"/>
  <c r="J29" i="33"/>
  <c r="H29" i="33"/>
  <c r="F29" i="33"/>
  <c r="J24" i="36"/>
  <c r="H24" i="36"/>
  <c r="F24" i="36"/>
  <c r="H34" i="36"/>
  <c r="J34" i="36"/>
  <c r="F34" i="36"/>
  <c r="J26" i="37"/>
  <c r="F26" i="37"/>
  <c r="BA565" i="3"/>
  <c r="AZ565" i="3" s="1"/>
  <c r="BA561" i="3"/>
  <c r="AZ561" i="3" s="1"/>
  <c r="BA558" i="3"/>
  <c r="AZ558" i="3" s="1"/>
  <c r="BL557" i="3"/>
  <c r="BA557" i="3"/>
  <c r="BL555" i="3"/>
  <c r="AZ555" i="3" s="1"/>
  <c r="BA550" i="3"/>
  <c r="AZ550" i="3" s="1"/>
  <c r="BL546" i="3"/>
  <c r="AZ546" i="3" s="1"/>
  <c r="BL544" i="3"/>
  <c r="BA544" i="3"/>
  <c r="BA543" i="3"/>
  <c r="AZ543" i="3" s="1"/>
  <c r="BL537" i="3"/>
  <c r="AZ537" i="3" s="1"/>
  <c r="BL536" i="3"/>
  <c r="BL530" i="3"/>
  <c r="AZ530" i="3" s="1"/>
  <c r="BL528" i="3"/>
  <c r="BA528" i="3"/>
  <c r="BA524" i="3"/>
  <c r="AZ524" i="3" s="1"/>
  <c r="BL523" i="3"/>
  <c r="AZ523" i="3" s="1"/>
  <c r="BL521" i="3"/>
  <c r="BA521" i="3"/>
  <c r="BL514" i="3"/>
  <c r="BA514" i="3"/>
  <c r="BA512" i="3"/>
  <c r="AZ512" i="3" s="1"/>
  <c r="BL511" i="3"/>
  <c r="AZ511" i="3" s="1"/>
  <c r="BL502" i="3"/>
  <c r="AZ502" i="3" s="1"/>
  <c r="BL500" i="3"/>
  <c r="AZ500" i="3" s="1"/>
  <c r="BL495" i="3"/>
  <c r="BL493" i="3"/>
  <c r="BA493" i="3"/>
  <c r="BL491" i="3"/>
  <c r="AZ491" i="3" s="1"/>
  <c r="BL485" i="3"/>
  <c r="AZ485" i="3" s="1"/>
  <c r="BS5" i="3"/>
  <c r="F28" i="6" s="1"/>
  <c r="BL484" i="3"/>
  <c r="AZ484" i="3" s="1"/>
  <c r="BJ5" i="3"/>
  <c r="BT5" i="3"/>
  <c r="BN5" i="3"/>
  <c r="G29" i="6" s="1"/>
  <c r="S22" i="31"/>
  <c r="I14" i="66"/>
  <c r="B8" i="66" s="1"/>
  <c r="O41" i="9"/>
  <c r="R8" i="54" s="1"/>
  <c r="B54" i="63" s="1"/>
  <c r="J7" i="21"/>
  <c r="J7" i="36"/>
  <c r="H7" i="35"/>
  <c r="J7" i="35"/>
  <c r="J7" i="34"/>
  <c r="U19" i="40"/>
  <c r="AA17" i="33"/>
  <c r="AC23" i="34"/>
  <c r="U25" i="34"/>
  <c r="U14" i="36"/>
  <c r="G6" i="1"/>
  <c r="B48" i="46"/>
  <c r="W25" i="39"/>
  <c r="AC37" i="39"/>
  <c r="S17" i="40"/>
  <c r="S24" i="35"/>
  <c r="P10" i="1"/>
  <c r="D52" i="37"/>
  <c r="H71" i="46"/>
  <c r="H76" i="46"/>
  <c r="H73" i="46"/>
  <c r="H74" i="46"/>
  <c r="H70" i="46"/>
  <c r="BA13" i="3"/>
  <c r="AB17" i="40"/>
  <c r="U17" i="40"/>
  <c r="W38" i="40"/>
  <c r="AB32" i="21"/>
  <c r="W32" i="21"/>
  <c r="W43" i="33"/>
  <c r="AB11" i="33"/>
  <c r="AC11" i="34"/>
  <c r="AA26" i="36"/>
  <c r="O7" i="1"/>
  <c r="P7" i="1" s="1"/>
  <c r="W23" i="40"/>
  <c r="AA25" i="40"/>
  <c r="S25" i="40"/>
  <c r="S17" i="34"/>
  <c r="U10" i="33"/>
  <c r="AB10" i="33"/>
  <c r="W35" i="33"/>
  <c r="AC35" i="33"/>
  <c r="AC17" i="34"/>
  <c r="W17" i="34"/>
  <c r="U34" i="39"/>
  <c r="AA37" i="39"/>
  <c r="AC23" i="39"/>
  <c r="W23" i="39"/>
  <c r="W15" i="39"/>
  <c r="AB33" i="36"/>
  <c r="AB15" i="34"/>
  <c r="U15" i="34"/>
  <c r="W14" i="39"/>
  <c r="W41" i="40"/>
  <c r="AB14" i="40"/>
  <c r="AC40" i="40"/>
  <c r="W40" i="40"/>
  <c r="H34" i="40"/>
  <c r="J47" i="39"/>
  <c r="AA25" i="39"/>
  <c r="S25" i="39"/>
  <c r="AA41" i="40"/>
  <c r="S41" i="40"/>
  <c r="AB15" i="40"/>
  <c r="U15" i="40"/>
  <c r="AB14" i="39"/>
  <c r="U14" i="39"/>
  <c r="S8" i="37"/>
  <c r="AC30" i="40"/>
  <c r="W30" i="40"/>
  <c r="BL481" i="3"/>
  <c r="AZ481" i="3" s="1"/>
  <c r="S29" i="35"/>
  <c r="AA29" i="35"/>
  <c r="AC34" i="39"/>
  <c r="W34" i="39"/>
  <c r="W44" i="39"/>
  <c r="AC44" i="39"/>
  <c r="S44" i="39"/>
  <c r="AA44" i="39"/>
  <c r="AA31" i="36"/>
  <c r="AC11" i="35"/>
  <c r="W11" i="35"/>
  <c r="S11" i="34"/>
  <c r="AA11" i="34"/>
  <c r="S8" i="33"/>
  <c r="AB40" i="21"/>
  <c r="U40" i="21"/>
  <c r="U37" i="21"/>
  <c r="AB37" i="21"/>
  <c r="AB17" i="21"/>
  <c r="U17" i="21"/>
  <c r="W40" i="34"/>
  <c r="AC40" i="34"/>
  <c r="AA30" i="33"/>
  <c r="AZ365" i="3"/>
  <c r="AZ298" i="3"/>
  <c r="AZ377" i="3"/>
  <c r="S21" i="40"/>
  <c r="AA21" i="40"/>
  <c r="U31" i="37"/>
  <c r="W15" i="37"/>
  <c r="AC15" i="37"/>
  <c r="AB8" i="34"/>
  <c r="S25" i="37"/>
  <c r="AA37" i="37"/>
  <c r="S37" i="37"/>
  <c r="AC32" i="37"/>
  <c r="W32" i="37"/>
  <c r="AA10" i="35"/>
  <c r="S10" i="35"/>
  <c r="U35" i="34"/>
  <c r="AB35" i="34"/>
  <c r="U30" i="21"/>
  <c r="AB30" i="21"/>
  <c r="S19" i="33"/>
  <c r="AA19" i="33"/>
  <c r="C23" i="39"/>
  <c r="W26" i="21"/>
  <c r="AC26" i="21"/>
  <c r="AC10" i="21"/>
  <c r="W10" i="21"/>
  <c r="AC9" i="21"/>
  <c r="W9" i="21"/>
  <c r="AB35" i="21"/>
  <c r="U35" i="21"/>
  <c r="S38" i="21"/>
  <c r="AA38" i="21"/>
  <c r="I4" i="6"/>
  <c r="G3" i="46" s="1"/>
  <c r="E8" i="6"/>
  <c r="AC5" i="3"/>
  <c r="W36" i="21"/>
  <c r="AC36" i="21"/>
  <c r="F9" i="21"/>
  <c r="H9" i="21"/>
  <c r="AB34" i="35"/>
  <c r="U34" i="35"/>
  <c r="AC36" i="35"/>
  <c r="W36" i="35"/>
  <c r="H45" i="33"/>
  <c r="J45" i="33"/>
  <c r="J12" i="34"/>
  <c r="H12" i="34"/>
  <c r="F12" i="34"/>
  <c r="J14" i="34"/>
  <c r="F14" i="34"/>
  <c r="H14" i="34"/>
  <c r="H30" i="34"/>
  <c r="F30" i="34"/>
  <c r="J30" i="34"/>
  <c r="H32" i="34"/>
  <c r="F32" i="34"/>
  <c r="J32" i="34"/>
  <c r="H46" i="34"/>
  <c r="F46" i="34"/>
  <c r="J46" i="34"/>
  <c r="F13" i="35"/>
  <c r="J13" i="35"/>
  <c r="H13" i="35"/>
  <c r="J23" i="35"/>
  <c r="F23" i="35"/>
  <c r="H36" i="35"/>
  <c r="F36" i="35"/>
  <c r="AA27" i="35"/>
  <c r="S27" i="35"/>
  <c r="J9" i="36"/>
  <c r="H9" i="36"/>
  <c r="F9" i="36"/>
  <c r="H26" i="37"/>
  <c r="AB30" i="37"/>
  <c r="U30" i="37"/>
  <c r="J9" i="37"/>
  <c r="H9" i="37"/>
  <c r="F9" i="37"/>
  <c r="J39" i="37"/>
  <c r="F39" i="37"/>
  <c r="H39" i="37"/>
  <c r="F15" i="40"/>
  <c r="J15" i="40"/>
  <c r="F29" i="40"/>
  <c r="J29" i="40"/>
  <c r="F42" i="40"/>
  <c r="H42" i="40"/>
  <c r="AC41" i="33"/>
  <c r="W41" i="33"/>
  <c r="AA38" i="34"/>
  <c r="S38" i="34"/>
  <c r="AC42" i="34"/>
  <c r="W42" i="34"/>
  <c r="S34" i="37"/>
  <c r="AA34" i="37"/>
  <c r="S31" i="35"/>
  <c r="AA31" i="35"/>
  <c r="W13" i="40"/>
  <c r="AC13" i="40"/>
  <c r="H49" i="46"/>
  <c r="H47" i="46"/>
  <c r="H48" i="46"/>
  <c r="H53" i="46"/>
  <c r="H54" i="46"/>
  <c r="H55" i="46"/>
  <c r="AC34" i="40"/>
  <c r="W34" i="40"/>
  <c r="AA15" i="39"/>
  <c r="S15" i="39"/>
  <c r="AB41" i="40"/>
  <c r="U41" i="40"/>
  <c r="AA38" i="40"/>
  <c r="S38" i="40"/>
  <c r="AZ495" i="3"/>
  <c r="AC29" i="35"/>
  <c r="W29" i="35"/>
  <c r="U29" i="39"/>
  <c r="AB29" i="39"/>
  <c r="U44" i="39"/>
  <c r="AB44" i="39"/>
  <c r="AC17" i="21"/>
  <c r="W17" i="21"/>
  <c r="AA16" i="35"/>
  <c r="S16" i="35"/>
  <c r="AA43" i="33"/>
  <c r="S43" i="33"/>
  <c r="AA29" i="37"/>
  <c r="S29" i="37"/>
  <c r="S33" i="35"/>
  <c r="AA33" i="35"/>
  <c r="AA28" i="33"/>
  <c r="S28" i="33"/>
  <c r="B47" i="46"/>
  <c r="C19" i="39"/>
  <c r="D58" i="33"/>
  <c r="AC42" i="33"/>
  <c r="W42" i="33"/>
  <c r="F7" i="34"/>
  <c r="AA9" i="34"/>
  <c r="S9" i="34"/>
  <c r="F28" i="34"/>
  <c r="J28" i="34"/>
  <c r="W31" i="36"/>
  <c r="AC31" i="36"/>
  <c r="W8" i="37"/>
  <c r="AC8" i="37"/>
  <c r="H14" i="37"/>
  <c r="F14" i="37"/>
  <c r="J14" i="37"/>
  <c r="F38" i="39"/>
  <c r="J38" i="39"/>
  <c r="H38" i="39"/>
  <c r="BL569" i="3"/>
  <c r="BA569" i="3"/>
  <c r="BL564" i="3"/>
  <c r="AZ564" i="3" s="1"/>
  <c r="BL562" i="3"/>
  <c r="BA562" i="3"/>
  <c r="BA560" i="3"/>
  <c r="AZ560" i="3" s="1"/>
  <c r="BL559" i="3"/>
  <c r="BA559" i="3"/>
  <c r="BL551" i="3"/>
  <c r="BA551" i="3"/>
  <c r="AZ551" i="3" s="1"/>
  <c r="BA549" i="3"/>
  <c r="AZ549" i="3" s="1"/>
  <c r="BA548" i="3"/>
  <c r="AZ548" i="3" s="1"/>
  <c r="BA547" i="3"/>
  <c r="AZ547" i="3" s="1"/>
  <c r="BA539" i="3"/>
  <c r="AZ539" i="3" s="1"/>
  <c r="BA538" i="3"/>
  <c r="AZ538" i="3" s="1"/>
  <c r="BA536" i="3"/>
  <c r="AZ536" i="3" s="1"/>
  <c r="BL529" i="3"/>
  <c r="AZ529" i="3" s="1"/>
  <c r="BA522" i="3"/>
  <c r="AZ522" i="3" s="1"/>
  <c r="BA520" i="3"/>
  <c r="AZ520" i="3" s="1"/>
  <c r="BL515" i="3"/>
  <c r="AZ515" i="3" s="1"/>
  <c r="BL513" i="3"/>
  <c r="AZ513" i="3" s="1"/>
  <c r="BL503" i="3"/>
  <c r="AZ503" i="3" s="1"/>
  <c r="BA494" i="3"/>
  <c r="AZ494" i="3" s="1"/>
  <c r="BL492" i="3"/>
  <c r="BA492" i="3"/>
  <c r="BA490" i="3"/>
  <c r="AZ490" i="3" s="1"/>
  <c r="BL489" i="3"/>
  <c r="AZ489" i="3" s="1"/>
  <c r="BL483" i="3"/>
  <c r="AZ483" i="3" s="1"/>
  <c r="BO5" i="3"/>
  <c r="BL482" i="3"/>
  <c r="AZ482" i="3" s="1"/>
  <c r="BM5" i="3"/>
  <c r="F29" i="6" s="1"/>
  <c r="BH5" i="3"/>
  <c r="E15" i="6" s="1"/>
  <c r="BR5" i="3"/>
  <c r="G28" i="6" s="1"/>
  <c r="AZ542" i="3"/>
  <c r="AB30" i="33"/>
  <c r="U30" i="33"/>
  <c r="W28" i="33"/>
  <c r="AC28" i="33"/>
  <c r="AC8" i="21"/>
  <c r="W8" i="21"/>
  <c r="W40" i="21"/>
  <c r="AC40" i="21"/>
  <c r="H5" i="3"/>
  <c r="BA572" i="3"/>
  <c r="AZ572" i="3" s="1"/>
  <c r="BL13" i="3"/>
  <c r="H13" i="21"/>
  <c r="J13" i="21"/>
  <c r="F13" i="21"/>
  <c r="H27" i="21"/>
  <c r="J27" i="21"/>
  <c r="F27" i="21"/>
  <c r="J29" i="21"/>
  <c r="H29" i="21"/>
  <c r="F29" i="21"/>
  <c r="J31" i="21"/>
  <c r="H31" i="21"/>
  <c r="F31" i="21"/>
  <c r="J45" i="21"/>
  <c r="F45" i="21"/>
  <c r="H45" i="21"/>
  <c r="U27" i="33"/>
  <c r="AB27" i="33"/>
  <c r="J26" i="33"/>
  <c r="F26" i="33"/>
  <c r="H26" i="33"/>
  <c r="AC8" i="34"/>
  <c r="W8" i="34"/>
  <c r="F31" i="33"/>
  <c r="J31" i="33"/>
  <c r="H31" i="33"/>
  <c r="J25" i="35"/>
  <c r="F25" i="35"/>
  <c r="H25" i="35"/>
  <c r="J35" i="35"/>
  <c r="F35" i="35"/>
  <c r="H35" i="35"/>
  <c r="H13" i="36"/>
  <c r="J13" i="36"/>
  <c r="F13" i="36"/>
  <c r="F28" i="37"/>
  <c r="J28" i="37"/>
  <c r="H28" i="37"/>
  <c r="H40" i="37"/>
  <c r="J40" i="37"/>
  <c r="G569" i="3"/>
  <c r="G564" i="3"/>
  <c r="BA554" i="3"/>
  <c r="AZ554" i="3" s="1"/>
  <c r="BL541" i="3"/>
  <c r="AZ541" i="3" s="1"/>
  <c r="G535" i="3"/>
  <c r="BL534" i="3"/>
  <c r="AZ534" i="3" s="1"/>
  <c r="BL532" i="3"/>
  <c r="AZ532" i="3" s="1"/>
  <c r="G528" i="3"/>
  <c r="BL527" i="3"/>
  <c r="AZ527" i="3" s="1"/>
  <c r="BL526" i="3"/>
  <c r="AZ526" i="3" s="1"/>
  <c r="BL525" i="3"/>
  <c r="AZ525" i="3" s="1"/>
  <c r="G520" i="3"/>
  <c r="BL516" i="3"/>
  <c r="BA516" i="3"/>
  <c r="G511" i="3"/>
  <c r="BA508" i="3"/>
  <c r="AZ508" i="3" s="1"/>
  <c r="BA505" i="3"/>
  <c r="AZ505" i="3" s="1"/>
  <c r="G500" i="3"/>
  <c r="G489" i="3"/>
  <c r="G481" i="3"/>
  <c r="AZ392" i="3"/>
  <c r="AZ397" i="3"/>
  <c r="AZ408" i="3"/>
  <c r="AZ413" i="3"/>
  <c r="AZ424" i="3"/>
  <c r="AZ437" i="3"/>
  <c r="AZ457" i="3"/>
  <c r="AZ470" i="3"/>
  <c r="AZ473" i="3"/>
  <c r="AZ334" i="3"/>
  <c r="I1" i="65"/>
  <c r="AZ395" i="3"/>
  <c r="AZ402" i="3"/>
  <c r="AZ432" i="3"/>
  <c r="AZ447" i="3"/>
  <c r="AZ465" i="3"/>
  <c r="G17" i="46"/>
  <c r="C16" i="46" s="1"/>
  <c r="C5" i="46" s="1"/>
  <c r="A30" i="51"/>
  <c r="B22" i="63" s="1"/>
  <c r="A30" i="64"/>
  <c r="AZ350" i="3"/>
  <c r="AZ208" i="3"/>
  <c r="AZ211" i="3"/>
  <c r="AZ224" i="3"/>
  <c r="AZ227" i="3"/>
  <c r="AZ240" i="3"/>
  <c r="AZ243" i="3"/>
  <c r="AZ256" i="3"/>
  <c r="AZ259" i="3"/>
  <c r="AZ275" i="3"/>
  <c r="AZ279" i="3"/>
  <c r="AZ291" i="3"/>
  <c r="AZ294" i="3"/>
  <c r="AZ113" i="3"/>
  <c r="AZ116" i="3"/>
  <c r="AZ129" i="3"/>
  <c r="AZ132" i="3"/>
  <c r="AZ145" i="3"/>
  <c r="AZ148" i="3"/>
  <c r="AZ25" i="3"/>
  <c r="AZ30" i="3"/>
  <c r="AZ50" i="3"/>
  <c r="AZ53" i="3"/>
  <c r="AZ60" i="3"/>
  <c r="AZ72" i="3"/>
  <c r="AZ77" i="3"/>
  <c r="AZ92" i="3"/>
  <c r="AZ97" i="3"/>
  <c r="AZ108" i="3"/>
  <c r="AZ41" i="3"/>
  <c r="D1" i="57"/>
  <c r="E10" i="57" s="1"/>
  <c r="K13" i="1"/>
  <c r="M13" i="1" s="1"/>
  <c r="K12" i="1"/>
  <c r="J53" i="15"/>
  <c r="B54" i="46"/>
  <c r="C27" i="40"/>
  <c r="S27" i="40"/>
  <c r="S21" i="34"/>
  <c r="C15" i="59"/>
  <c r="Y17" i="59"/>
  <c r="Z17" i="59" s="1"/>
  <c r="C18" i="59"/>
  <c r="AA21" i="59"/>
  <c r="E22" i="59"/>
  <c r="E23" i="59" s="1"/>
  <c r="E24" i="59" s="1"/>
  <c r="U24" i="59" s="1"/>
  <c r="T56" i="59"/>
  <c r="C55" i="59"/>
  <c r="X9" i="59"/>
  <c r="AA3" i="59"/>
  <c r="D100" i="46"/>
  <c r="D23" i="15"/>
  <c r="AB13" i="59"/>
  <c r="F14" i="59"/>
  <c r="F15" i="59" s="1"/>
  <c r="F16" i="59" s="1"/>
  <c r="V16" i="59" s="1"/>
  <c r="AB3" i="59"/>
  <c r="AB10" i="59"/>
  <c r="X17" i="59"/>
  <c r="B18" i="59"/>
  <c r="B19" i="59" s="1"/>
  <c r="B20" i="59" s="1"/>
  <c r="S20" i="59" s="1"/>
  <c r="AB21" i="59"/>
  <c r="F22" i="59"/>
  <c r="F23" i="59" s="1"/>
  <c r="F24" i="59" s="1"/>
  <c r="V24" i="59" s="1"/>
  <c r="AB22" i="59"/>
  <c r="C31" i="59"/>
  <c r="D31" i="59" s="1"/>
  <c r="D30" i="59"/>
  <c r="Q50" i="59"/>
  <c r="Q49" i="59"/>
  <c r="O52" i="59"/>
  <c r="C51" i="59"/>
  <c r="C63" i="59"/>
  <c r="AA12" i="59"/>
  <c r="AA10" i="59"/>
  <c r="X11" i="59"/>
  <c r="X13" i="59"/>
  <c r="AA14" i="59"/>
  <c r="X15" i="59"/>
  <c r="AA16" i="59"/>
  <c r="AB17" i="59"/>
  <c r="D12" i="59"/>
  <c r="T12" i="59"/>
  <c r="C11" i="59"/>
  <c r="F11" i="59"/>
  <c r="F10" i="59" s="1"/>
  <c r="V12" i="59"/>
  <c r="AD12" i="46"/>
  <c r="AH12" i="46"/>
  <c r="C6" i="59"/>
  <c r="D7" i="59"/>
  <c r="AA6" i="59"/>
  <c r="Y5" i="59"/>
  <c r="Z5" i="59" s="1"/>
  <c r="AB5" i="59"/>
  <c r="X7" i="59"/>
  <c r="X8" i="59"/>
  <c r="B12" i="59"/>
  <c r="AA8" i="59"/>
  <c r="E12" i="59"/>
  <c r="A28" i="64"/>
  <c r="Y6" i="59"/>
  <c r="Z6" i="59" s="1"/>
  <c r="AB6" i="59"/>
  <c r="X6" i="59"/>
  <c r="AA5" i="59"/>
  <c r="V8" i="59"/>
  <c r="K76" i="9"/>
  <c r="K77" i="9" s="1"/>
  <c r="K79" i="9" s="1"/>
  <c r="K81" i="9" s="1"/>
  <c r="Y8" i="59"/>
  <c r="Z8" i="59" s="1"/>
  <c r="AB8" i="59"/>
  <c r="Y7" i="59"/>
  <c r="Z7" i="59" s="1"/>
  <c r="AA7" i="59"/>
  <c r="AB7" i="59"/>
  <c r="X5" i="59"/>
  <c r="F58" i="15"/>
  <c r="M17" i="15"/>
  <c r="F33" i="44"/>
  <c r="C19" i="44"/>
  <c r="F8" i="15"/>
  <c r="F9" i="15"/>
  <c r="F46" i="44"/>
  <c r="M23" i="15"/>
  <c r="F38" i="15"/>
  <c r="M26" i="44"/>
  <c r="N5" i="65"/>
  <c r="L48" i="44"/>
  <c r="M11" i="44"/>
  <c r="N6" i="65"/>
  <c r="F45" i="44"/>
  <c r="M31" i="44"/>
  <c r="F43" i="44"/>
  <c r="F9" i="44"/>
  <c r="C16" i="15"/>
  <c r="F10" i="44"/>
  <c r="J3" i="65"/>
  <c r="M27" i="15"/>
  <c r="M22" i="15"/>
  <c r="M23" i="44"/>
  <c r="M28" i="44"/>
  <c r="J15" i="15"/>
  <c r="F6" i="15"/>
  <c r="M29" i="44"/>
  <c r="F11" i="44"/>
  <c r="L49" i="44"/>
  <c r="M25" i="44"/>
  <c r="J5" i="65"/>
  <c r="M24" i="44"/>
  <c r="N4" i="65"/>
  <c r="F15" i="44"/>
  <c r="M30" i="44"/>
  <c r="F8" i="44"/>
  <c r="F40" i="44"/>
  <c r="E47" i="46" l="1"/>
  <c r="B45" i="46" s="1"/>
  <c r="C24" i="46" s="1"/>
  <c r="D5" i="46"/>
  <c r="C6" i="15"/>
  <c r="F65" i="15"/>
  <c r="F50" i="15"/>
  <c r="AZ514" i="3"/>
  <c r="AZ528" i="3"/>
  <c r="F7" i="35"/>
  <c r="H7" i="34"/>
  <c r="H7" i="21"/>
  <c r="C36" i="59"/>
  <c r="D35" i="59"/>
  <c r="S12" i="35"/>
  <c r="AA12" i="35"/>
  <c r="S9" i="35"/>
  <c r="AA9" i="35"/>
  <c r="W30" i="33"/>
  <c r="AC30" i="33"/>
  <c r="AB12" i="37"/>
  <c r="U12" i="37"/>
  <c r="AA27" i="39"/>
  <c r="S27" i="39"/>
  <c r="F9" i="12"/>
  <c r="K9" i="1"/>
  <c r="M9" i="1" s="1"/>
  <c r="C28" i="72"/>
  <c r="D67" i="40"/>
  <c r="E65" i="40"/>
  <c r="AZ492" i="3"/>
  <c r="C28" i="59"/>
  <c r="D27" i="59"/>
  <c r="C25" i="12"/>
  <c r="C15" i="12"/>
  <c r="C15" i="43"/>
  <c r="AC12" i="35"/>
  <c r="W12" i="35"/>
  <c r="AC9" i="35"/>
  <c r="W9" i="35"/>
  <c r="AA12" i="37"/>
  <c r="S12" i="37"/>
  <c r="S19" i="39"/>
  <c r="AA19" i="39"/>
  <c r="C27" i="43"/>
  <c r="C30" i="44"/>
  <c r="C28" i="15"/>
  <c r="C28" i="69"/>
  <c r="C28" i="70"/>
  <c r="C28" i="71"/>
  <c r="E4" i="4"/>
  <c r="B21" i="55" s="1"/>
  <c r="B72" i="63" s="1"/>
  <c r="C4" i="4"/>
  <c r="B20" i="55" s="1"/>
  <c r="B70" i="63" s="1"/>
  <c r="M43" i="9"/>
  <c r="D18" i="9"/>
  <c r="M44" i="9" s="1"/>
  <c r="AA42" i="39"/>
  <c r="S42" i="39"/>
  <c r="AB42" i="39"/>
  <c r="U42" i="39"/>
  <c r="AC42" i="39"/>
  <c r="W42" i="39"/>
  <c r="H83" i="39"/>
  <c r="E29" i="6"/>
  <c r="K15" i="1" s="1"/>
  <c r="E14" i="6"/>
  <c r="A25" i="51"/>
  <c r="B18" i="63" s="1"/>
  <c r="A17" i="64"/>
  <c r="B38" i="63"/>
  <c r="A3" i="55"/>
  <c r="B56" i="63" s="1"/>
  <c r="C48" i="15"/>
  <c r="F7" i="21"/>
  <c r="AA7" i="21" s="1"/>
  <c r="R48" i="21" s="1"/>
  <c r="E70" i="39"/>
  <c r="D72" i="39"/>
  <c r="J1" i="65"/>
  <c r="Q73" i="44"/>
  <c r="M9" i="44"/>
  <c r="I55" i="44"/>
  <c r="J60" i="44"/>
  <c r="L57" i="44"/>
  <c r="J58" i="44"/>
  <c r="J56" i="44" s="1"/>
  <c r="J59" i="44" s="1"/>
  <c r="Q52" i="44" s="1"/>
  <c r="J61" i="44"/>
  <c r="Q50" i="44" s="1"/>
  <c r="J54" i="44"/>
  <c r="C8" i="44"/>
  <c r="C4" i="65"/>
  <c r="B39" i="1" s="1"/>
  <c r="L60" i="44"/>
  <c r="L59" i="44"/>
  <c r="J22" i="44"/>
  <c r="E62" i="40"/>
  <c r="E67" i="39"/>
  <c r="E66" i="39"/>
  <c r="E61" i="40"/>
  <c r="F30" i="6"/>
  <c r="E28" i="6"/>
  <c r="U12" i="59"/>
  <c r="E11" i="59"/>
  <c r="E10" i="59" s="1"/>
  <c r="S12" i="59"/>
  <c r="B11" i="59"/>
  <c r="B10" i="59" s="1"/>
  <c r="C62" i="59"/>
  <c r="D62" i="59" s="1"/>
  <c r="D63" i="59"/>
  <c r="O13" i="1"/>
  <c r="P13" i="1" s="1"/>
  <c r="AB40" i="37"/>
  <c r="U40" i="37"/>
  <c r="AC28" i="37"/>
  <c r="W28" i="37"/>
  <c r="S13" i="36"/>
  <c r="AA13" i="36"/>
  <c r="AB13" i="36"/>
  <c r="U13" i="36"/>
  <c r="S35" i="35"/>
  <c r="AA35" i="35"/>
  <c r="AB25" i="35"/>
  <c r="U25" i="35"/>
  <c r="AC25" i="35"/>
  <c r="W25" i="35"/>
  <c r="AC31" i="33"/>
  <c r="W31" i="33"/>
  <c r="U26" i="33"/>
  <c r="AB26" i="33"/>
  <c r="W26" i="33"/>
  <c r="AC26" i="33"/>
  <c r="AA45" i="21"/>
  <c r="S45" i="21"/>
  <c r="S31" i="21"/>
  <c r="AA31" i="21"/>
  <c r="AC31" i="21"/>
  <c r="W31" i="21"/>
  <c r="U29" i="21"/>
  <c r="AB29" i="21"/>
  <c r="AA27" i="21"/>
  <c r="S27" i="21"/>
  <c r="AB27" i="21"/>
  <c r="U27" i="21"/>
  <c r="AC13" i="21"/>
  <c r="W13" i="21"/>
  <c r="BL5" i="3"/>
  <c r="AC38" i="39"/>
  <c r="W38" i="39"/>
  <c r="W14" i="37"/>
  <c r="AC14" i="37"/>
  <c r="U14" i="37"/>
  <c r="AB14" i="37"/>
  <c r="AA28" i="34"/>
  <c r="S28" i="34"/>
  <c r="E58" i="33"/>
  <c r="AA42" i="40"/>
  <c r="S42" i="40"/>
  <c r="AA29" i="40"/>
  <c r="S29" i="40"/>
  <c r="S15" i="40"/>
  <c r="AA15" i="40"/>
  <c r="S39" i="37"/>
  <c r="AA39" i="37"/>
  <c r="S9" i="37"/>
  <c r="AA9" i="37"/>
  <c r="AC9" i="37"/>
  <c r="W9" i="37"/>
  <c r="S9" i="36"/>
  <c r="AA9" i="36"/>
  <c r="AC9" i="36"/>
  <c r="W9" i="36"/>
  <c r="AB36" i="35"/>
  <c r="U36" i="35"/>
  <c r="W23" i="35"/>
  <c r="AC23" i="35"/>
  <c r="AC13" i="35"/>
  <c r="W13" i="35"/>
  <c r="W46" i="34"/>
  <c r="AC46" i="34"/>
  <c r="U46" i="34"/>
  <c r="AB46" i="34"/>
  <c r="S32" i="34"/>
  <c r="AA32" i="34"/>
  <c r="AC30" i="34"/>
  <c r="W30" i="34"/>
  <c r="U30" i="34"/>
  <c r="AB30" i="34"/>
  <c r="S14" i="34"/>
  <c r="AA14" i="34"/>
  <c r="S12" i="34"/>
  <c r="AA12" i="34"/>
  <c r="W12" i="34"/>
  <c r="AC12" i="34"/>
  <c r="U45" i="33"/>
  <c r="AB45" i="33"/>
  <c r="S9" i="21"/>
  <c r="AA9" i="21"/>
  <c r="E58" i="39"/>
  <c r="F27" i="6"/>
  <c r="F31" i="6" s="1"/>
  <c r="E53" i="40"/>
  <c r="W47" i="39"/>
  <c r="AC47" i="39"/>
  <c r="AC7" i="35"/>
  <c r="V38" i="35" s="1"/>
  <c r="I38" i="35" s="1"/>
  <c r="W7" i="35"/>
  <c r="W7" i="36"/>
  <c r="AC7" i="36"/>
  <c r="V36" i="36" s="1"/>
  <c r="I36" i="36" s="1"/>
  <c r="W26" i="37"/>
  <c r="AC26" i="37"/>
  <c r="AC34" i="36"/>
  <c r="W34" i="36"/>
  <c r="AA24" i="36"/>
  <c r="S24" i="36"/>
  <c r="AC24" i="36"/>
  <c r="W24" i="36"/>
  <c r="AB29" i="33"/>
  <c r="U29" i="33"/>
  <c r="AB13" i="33"/>
  <c r="U13" i="33"/>
  <c r="S13" i="33"/>
  <c r="AA13" i="33"/>
  <c r="U9" i="33"/>
  <c r="AB9" i="33"/>
  <c r="AA7" i="35"/>
  <c r="R38" i="35" s="1"/>
  <c r="S7" i="35"/>
  <c r="E11" i="6"/>
  <c r="E13" i="6"/>
  <c r="AB7" i="34"/>
  <c r="T49" i="34" s="1"/>
  <c r="G49" i="34" s="1"/>
  <c r="U7" i="34"/>
  <c r="S7" i="21"/>
  <c r="Q61" i="15"/>
  <c r="Q74" i="15"/>
  <c r="D6" i="59"/>
  <c r="C5" i="59"/>
  <c r="D11" i="59"/>
  <c r="C10" i="59"/>
  <c r="D10" i="59" s="1"/>
  <c r="O51" i="59"/>
  <c r="C50" i="59"/>
  <c r="D51" i="59"/>
  <c r="D55" i="59"/>
  <c r="C54" i="59"/>
  <c r="D54" i="59" s="1"/>
  <c r="D18" i="59"/>
  <c r="C19" i="59"/>
  <c r="C16" i="59"/>
  <c r="D15" i="59"/>
  <c r="M12" i="1"/>
  <c r="H16" i="1"/>
  <c r="AP16" i="1"/>
  <c r="F22" i="11" s="1"/>
  <c r="Q16" i="1"/>
  <c r="AZ516" i="3"/>
  <c r="AC40" i="37"/>
  <c r="W40" i="37"/>
  <c r="U28" i="37"/>
  <c r="AB28" i="37"/>
  <c r="AA28" i="37"/>
  <c r="S28" i="37"/>
  <c r="AC13" i="36"/>
  <c r="W13" i="36"/>
  <c r="AB35" i="35"/>
  <c r="U35" i="35"/>
  <c r="W35" i="35"/>
  <c r="AC35" i="35"/>
  <c r="S25" i="35"/>
  <c r="AA25" i="35"/>
  <c r="AB31" i="33"/>
  <c r="U31" i="33"/>
  <c r="S31" i="33"/>
  <c r="AA31" i="33"/>
  <c r="AA26" i="33"/>
  <c r="S26" i="33"/>
  <c r="U45" i="21"/>
  <c r="AB45" i="21"/>
  <c r="AC45" i="21"/>
  <c r="W45" i="21"/>
  <c r="AB31" i="21"/>
  <c r="U31" i="21"/>
  <c r="S29" i="21"/>
  <c r="AA29" i="21"/>
  <c r="AC29" i="21"/>
  <c r="W29" i="21"/>
  <c r="AC27" i="21"/>
  <c r="W27" i="21"/>
  <c r="S13" i="21"/>
  <c r="AA13" i="21"/>
  <c r="AB13" i="21"/>
  <c r="U13" i="21"/>
  <c r="G30" i="6"/>
  <c r="G31" i="6" s="1"/>
  <c r="AZ559" i="3"/>
  <c r="AZ562" i="3"/>
  <c r="AZ569" i="3"/>
  <c r="AB38" i="39"/>
  <c r="U38" i="39"/>
  <c r="AA38" i="39"/>
  <c r="S38" i="39"/>
  <c r="S14" i="37"/>
  <c r="AA14" i="37"/>
  <c r="W28" i="34"/>
  <c r="AC28" i="34"/>
  <c r="AA7" i="34"/>
  <c r="R49" i="34" s="1"/>
  <c r="S7" i="34"/>
  <c r="AB42" i="40"/>
  <c r="U42" i="40"/>
  <c r="AC29" i="40"/>
  <c r="W29" i="40"/>
  <c r="AC15" i="40"/>
  <c r="W15" i="40"/>
  <c r="AB39" i="37"/>
  <c r="U39" i="37"/>
  <c r="AC39" i="37"/>
  <c r="W39" i="37"/>
  <c r="U9" i="37"/>
  <c r="AB9" i="37"/>
  <c r="AB26" i="37"/>
  <c r="U26" i="37"/>
  <c r="AB9" i="36"/>
  <c r="U9" i="36"/>
  <c r="AA36" i="35"/>
  <c r="S36" i="35"/>
  <c r="AA23" i="35"/>
  <c r="S23" i="35"/>
  <c r="AB13" i="35"/>
  <c r="U13" i="35"/>
  <c r="S13" i="35"/>
  <c r="AA13" i="35"/>
  <c r="S46" i="34"/>
  <c r="AA46" i="34"/>
  <c r="AC32" i="34"/>
  <c r="W32" i="34"/>
  <c r="U32" i="34"/>
  <c r="AB32" i="34"/>
  <c r="AA30" i="34"/>
  <c r="S30" i="34"/>
  <c r="U14" i="34"/>
  <c r="AB14" i="34"/>
  <c r="AC14" i="34"/>
  <c r="W14" i="34"/>
  <c r="U12" i="34"/>
  <c r="AB12" i="34"/>
  <c r="W45" i="33"/>
  <c r="AC45" i="33"/>
  <c r="U9" i="21"/>
  <c r="AB9" i="21"/>
  <c r="H22" i="46"/>
  <c r="AE11" i="46"/>
  <c r="AE13" i="46" s="1"/>
  <c r="AI11" i="46"/>
  <c r="AI13" i="46" s="1"/>
  <c r="AA11" i="46"/>
  <c r="AA13" i="46" s="1"/>
  <c r="AH11" i="46"/>
  <c r="AH13" i="46" s="1"/>
  <c r="AD11" i="46"/>
  <c r="AD13" i="46" s="1"/>
  <c r="Z11" i="46"/>
  <c r="Z13" i="46" s="1"/>
  <c r="F101" i="46"/>
  <c r="N101" i="46"/>
  <c r="K101" i="46"/>
  <c r="Z7" i="46"/>
  <c r="E101" i="46"/>
  <c r="F22" i="46"/>
  <c r="L101" i="46"/>
  <c r="N104" i="45"/>
  <c r="B113" i="46"/>
  <c r="J101" i="46"/>
  <c r="G101" i="46"/>
  <c r="C101" i="46"/>
  <c r="E22" i="46"/>
  <c r="H101" i="46"/>
  <c r="D101" i="46"/>
  <c r="Y11" i="46"/>
  <c r="Y13" i="46" s="1"/>
  <c r="AC11" i="46"/>
  <c r="AC13" i="46" s="1"/>
  <c r="M101" i="46"/>
  <c r="I101" i="46"/>
  <c r="J22" i="46"/>
  <c r="AB11" i="46"/>
  <c r="AB13" i="46" s="1"/>
  <c r="AJ11" i="46"/>
  <c r="AJ13" i="46" s="1"/>
  <c r="AF11" i="46"/>
  <c r="AF13" i="46" s="1"/>
  <c r="AG11" i="46"/>
  <c r="AG13" i="46" s="1"/>
  <c r="G22" i="46"/>
  <c r="G5" i="3"/>
  <c r="B3" i="3" s="1"/>
  <c r="E511" i="3" s="1"/>
  <c r="U34" i="40"/>
  <c r="AB34" i="40"/>
  <c r="AZ13" i="3"/>
  <c r="BA5" i="3"/>
  <c r="E27" i="6" s="1"/>
  <c r="E52" i="37"/>
  <c r="G16" i="1"/>
  <c r="W7" i="34"/>
  <c r="AC7" i="34"/>
  <c r="V49" i="34" s="1"/>
  <c r="I49" i="34" s="1"/>
  <c r="AB7" i="35"/>
  <c r="T38" i="35" s="1"/>
  <c r="G38" i="35" s="1"/>
  <c r="U7" i="35"/>
  <c r="W7" i="21"/>
  <c r="AC7" i="21"/>
  <c r="V48" i="21" s="1"/>
  <c r="I48" i="21" s="1"/>
  <c r="B20" i="31"/>
  <c r="R22" i="31"/>
  <c r="B21" i="31" s="1"/>
  <c r="AZ493" i="3"/>
  <c r="AZ521" i="3"/>
  <c r="AZ544" i="3"/>
  <c r="AZ557" i="3"/>
  <c r="AA26" i="37"/>
  <c r="S26" i="37"/>
  <c r="AA34" i="36"/>
  <c r="S34" i="36"/>
  <c r="AB34" i="36"/>
  <c r="U34" i="36"/>
  <c r="U24" i="36"/>
  <c r="AB24" i="36"/>
  <c r="S29" i="33"/>
  <c r="AA29" i="33"/>
  <c r="AC29" i="33"/>
  <c r="W29" i="33"/>
  <c r="AC13" i="33"/>
  <c r="W13" i="33"/>
  <c r="S9" i="33"/>
  <c r="AA9" i="33"/>
  <c r="W9" i="33"/>
  <c r="AC9" i="33"/>
  <c r="F7" i="36"/>
  <c r="E12" i="6"/>
  <c r="E10" i="6"/>
  <c r="AB7" i="21"/>
  <c r="T48" i="21" s="1"/>
  <c r="G48" i="21" s="1"/>
  <c r="U7" i="21"/>
  <c r="K34" i="9"/>
  <c r="H7" i="36"/>
  <c r="Q75" i="15"/>
  <c r="Q62" i="15"/>
  <c r="F1" i="15"/>
  <c r="Q53" i="15"/>
  <c r="M19" i="44"/>
  <c r="I7" i="65"/>
  <c r="I4" i="65"/>
  <c r="F8" i="72"/>
  <c r="M28" i="72"/>
  <c r="M9" i="72"/>
  <c r="F16" i="72"/>
  <c r="F40" i="72"/>
  <c r="F37" i="72"/>
  <c r="F42" i="72"/>
  <c r="F43" i="72"/>
  <c r="M24" i="70"/>
  <c r="M28" i="70"/>
  <c r="J36" i="70"/>
  <c r="F26" i="70"/>
  <c r="J15" i="70"/>
  <c r="M26" i="70"/>
  <c r="F8" i="69"/>
  <c r="M22" i="69"/>
  <c r="M6" i="69"/>
  <c r="F37" i="69"/>
  <c r="L48" i="69"/>
  <c r="M29" i="69"/>
  <c r="F40" i="69"/>
  <c r="F42" i="71"/>
  <c r="F7" i="71"/>
  <c r="J36" i="71"/>
  <c r="M8" i="71"/>
  <c r="F16" i="71"/>
  <c r="F26" i="71"/>
  <c r="F38" i="71"/>
  <c r="I6" i="65"/>
  <c r="I3" i="65"/>
  <c r="F9" i="72"/>
  <c r="M23" i="72"/>
  <c r="F13" i="72"/>
  <c r="F38" i="72"/>
  <c r="F26" i="72"/>
  <c r="M26" i="72"/>
  <c r="F42" i="70"/>
  <c r="F36" i="70"/>
  <c r="M8" i="70"/>
  <c r="F40" i="70"/>
  <c r="F6" i="70"/>
  <c r="M27" i="70"/>
  <c r="M23" i="70"/>
  <c r="F7" i="69"/>
  <c r="F42" i="69"/>
  <c r="M24" i="69"/>
  <c r="M26" i="69"/>
  <c r="M8" i="69"/>
  <c r="F38" i="69"/>
  <c r="F13" i="69"/>
  <c r="M22" i="71"/>
  <c r="L47" i="71"/>
  <c r="F6" i="71"/>
  <c r="M23" i="71"/>
  <c r="L48" i="71"/>
  <c r="J15" i="71"/>
  <c r="E3" i="65"/>
  <c r="C18" i="44"/>
  <c r="J6" i="65"/>
  <c r="I5" i="65"/>
  <c r="L47" i="72"/>
  <c r="F7" i="72"/>
  <c r="J15" i="72"/>
  <c r="M29" i="72"/>
  <c r="M8" i="72"/>
  <c r="F36" i="72"/>
  <c r="M27" i="72"/>
  <c r="M22" i="70"/>
  <c r="L47" i="70"/>
  <c r="F13" i="70"/>
  <c r="F38" i="70"/>
  <c r="M6" i="70"/>
  <c r="F16" i="70"/>
  <c r="F9" i="69"/>
  <c r="M28" i="69"/>
  <c r="M9" i="69"/>
  <c r="F43" i="69"/>
  <c r="F26" i="69"/>
  <c r="J36" i="69"/>
  <c r="M27" i="69"/>
  <c r="F36" i="71"/>
  <c r="M28" i="71"/>
  <c r="F9" i="71"/>
  <c r="M6" i="71"/>
  <c r="F37" i="71"/>
  <c r="F13" i="71"/>
  <c r="M26" i="71"/>
  <c r="J4" i="65"/>
  <c r="J7" i="65"/>
  <c r="M24" i="72"/>
  <c r="M22" i="72"/>
  <c r="J36" i="72"/>
  <c r="F6" i="72"/>
  <c r="M6" i="72"/>
  <c r="L48" i="72"/>
  <c r="F8" i="70"/>
  <c r="F9" i="70"/>
  <c r="F7" i="70"/>
  <c r="M9" i="70"/>
  <c r="M29" i="70"/>
  <c r="L48" i="70"/>
  <c r="F37" i="70"/>
  <c r="F43" i="70"/>
  <c r="F36" i="69"/>
  <c r="L47" i="69"/>
  <c r="F6" i="69"/>
  <c r="F16" i="69"/>
  <c r="J15" i="69"/>
  <c r="M23" i="69"/>
  <c r="M24" i="71"/>
  <c r="F8" i="71"/>
  <c r="M27" i="71"/>
  <c r="M9" i="71"/>
  <c r="F40" i="71"/>
  <c r="M29" i="71"/>
  <c r="F43" i="71"/>
  <c r="AE6" i="1"/>
  <c r="M11" i="74" l="1"/>
  <c r="J10" i="74" s="1"/>
  <c r="J5" i="74" s="1"/>
  <c r="F11" i="74"/>
  <c r="F70" i="71"/>
  <c r="L60" i="71"/>
  <c r="L57" i="71"/>
  <c r="J53" i="71"/>
  <c r="L56" i="71"/>
  <c r="I54" i="71"/>
  <c r="J57" i="71"/>
  <c r="J55" i="71" s="1"/>
  <c r="J58" i="71" s="1"/>
  <c r="Q51" i="71" s="1"/>
  <c r="F67" i="71"/>
  <c r="C6" i="71"/>
  <c r="L59" i="71"/>
  <c r="L58" i="71"/>
  <c r="F50" i="71"/>
  <c r="F65" i="69"/>
  <c r="C6" i="69"/>
  <c r="L59" i="69"/>
  <c r="L58" i="69"/>
  <c r="F63" i="69"/>
  <c r="F49" i="69"/>
  <c r="M7" i="69"/>
  <c r="J6" i="69" s="1"/>
  <c r="F70" i="70"/>
  <c r="F64" i="70"/>
  <c r="L60" i="70"/>
  <c r="L57" i="70"/>
  <c r="I54" i="70"/>
  <c r="J53" i="70"/>
  <c r="L56" i="70"/>
  <c r="J57" i="70"/>
  <c r="J55" i="70" s="1"/>
  <c r="J58" i="70" s="1"/>
  <c r="Q51" i="70" s="1"/>
  <c r="C6" i="70"/>
  <c r="F67" i="70"/>
  <c r="M7" i="70"/>
  <c r="J6" i="70" s="1"/>
  <c r="F49" i="70"/>
  <c r="F63" i="70"/>
  <c r="F50" i="70"/>
  <c r="C48" i="70" s="1"/>
  <c r="L57" i="72"/>
  <c r="I54" i="72"/>
  <c r="L60" i="72"/>
  <c r="L56" i="72"/>
  <c r="J57" i="72"/>
  <c r="J55" i="72" s="1"/>
  <c r="J58" i="72" s="1"/>
  <c r="Q51" i="72" s="1"/>
  <c r="J53" i="72"/>
  <c r="C27" i="72"/>
  <c r="F65" i="72"/>
  <c r="C6" i="72"/>
  <c r="Q72" i="72"/>
  <c r="F65" i="71"/>
  <c r="C27" i="71"/>
  <c r="F64" i="71"/>
  <c r="Q72" i="71"/>
  <c r="M7" i="71"/>
  <c r="J6" i="71" s="1"/>
  <c r="F49" i="71"/>
  <c r="F63" i="71"/>
  <c r="F67" i="69"/>
  <c r="Q72" i="69"/>
  <c r="L56" i="69"/>
  <c r="J57" i="69"/>
  <c r="J55" i="69" s="1"/>
  <c r="J58" i="69" s="1"/>
  <c r="Q51" i="69" s="1"/>
  <c r="L60" i="69"/>
  <c r="L57" i="69"/>
  <c r="J53" i="69"/>
  <c r="I54" i="69"/>
  <c r="C27" i="69"/>
  <c r="F64" i="69"/>
  <c r="F70" i="69"/>
  <c r="F50" i="69"/>
  <c r="C48" i="69" s="1"/>
  <c r="C27" i="70"/>
  <c r="F65" i="70"/>
  <c r="Q72" i="70"/>
  <c r="L59" i="70"/>
  <c r="L58" i="70"/>
  <c r="F70" i="72"/>
  <c r="F63" i="72"/>
  <c r="F64" i="72"/>
  <c r="F67" i="72"/>
  <c r="F49" i="72"/>
  <c r="M7" i="72"/>
  <c r="J6" i="72" s="1"/>
  <c r="L59" i="72"/>
  <c r="L58" i="72"/>
  <c r="F50" i="72"/>
  <c r="C48" i="72" s="1"/>
  <c r="E20" i="46"/>
  <c r="O9" i="1"/>
  <c r="P9" i="1" s="1"/>
  <c r="D28" i="59"/>
  <c r="T28" i="59"/>
  <c r="F65" i="40"/>
  <c r="E67" i="40"/>
  <c r="D36" i="59"/>
  <c r="T36" i="59"/>
  <c r="M11" i="72"/>
  <c r="J10" i="72" s="1"/>
  <c r="F11" i="72"/>
  <c r="M11" i="71"/>
  <c r="J10" i="71" s="1"/>
  <c r="F11" i="71"/>
  <c r="M11" i="70"/>
  <c r="J10" i="70" s="1"/>
  <c r="F11" i="70"/>
  <c r="M11" i="69"/>
  <c r="J10" i="69" s="1"/>
  <c r="F11" i="69"/>
  <c r="I83" i="39"/>
  <c r="J83" i="39" s="1"/>
  <c r="K83" i="39" s="1"/>
  <c r="L83" i="39" s="1"/>
  <c r="M83" i="39" s="1"/>
  <c r="E16" i="6"/>
  <c r="F70" i="39"/>
  <c r="E72" i="39"/>
  <c r="L47" i="44"/>
  <c r="F17" i="11"/>
  <c r="C17" i="11" s="1"/>
  <c r="G52" i="21"/>
  <c r="H52" i="21" s="1"/>
  <c r="G53" i="21"/>
  <c r="H53" i="21" s="1"/>
  <c r="E64" i="39"/>
  <c r="E59" i="40"/>
  <c r="I52" i="21"/>
  <c r="J52" i="21" s="1"/>
  <c r="I53" i="34"/>
  <c r="J53" i="34" s="1"/>
  <c r="H12" i="39"/>
  <c r="F12" i="39"/>
  <c r="F12" i="40"/>
  <c r="J12" i="40"/>
  <c r="J12" i="39"/>
  <c r="H12" i="40"/>
  <c r="I105" i="46"/>
  <c r="I104" i="46"/>
  <c r="I103" i="46"/>
  <c r="I106" i="46"/>
  <c r="I102" i="46"/>
  <c r="I107" i="46"/>
  <c r="I109" i="46"/>
  <c r="H102" i="46"/>
  <c r="H107" i="46"/>
  <c r="H103" i="46"/>
  <c r="H104" i="46"/>
  <c r="H106" i="46"/>
  <c r="H105" i="46"/>
  <c r="H109" i="46"/>
  <c r="C104" i="46"/>
  <c r="C107" i="46"/>
  <c r="C109" i="46"/>
  <c r="C103" i="46"/>
  <c r="C102" i="46"/>
  <c r="C106" i="46"/>
  <c r="C105" i="46"/>
  <c r="J107" i="46"/>
  <c r="J106" i="46"/>
  <c r="J103" i="46"/>
  <c r="J104" i="46"/>
  <c r="J105" i="46"/>
  <c r="J109" i="46"/>
  <c r="J102" i="46"/>
  <c r="N103" i="46"/>
  <c r="N104" i="46"/>
  <c r="N106" i="46"/>
  <c r="N105" i="46"/>
  <c r="N107" i="46"/>
  <c r="N102" i="46"/>
  <c r="N109" i="46"/>
  <c r="E564" i="3"/>
  <c r="E520" i="3"/>
  <c r="E500" i="3"/>
  <c r="F18" i="11"/>
  <c r="C18" i="11" s="1"/>
  <c r="F33" i="12"/>
  <c r="C34" i="12" s="1"/>
  <c r="D33" i="12" s="1"/>
  <c r="F24" i="43"/>
  <c r="C26" i="43" s="1"/>
  <c r="D24" i="43" s="1"/>
  <c r="C20" i="59"/>
  <c r="D19" i="59"/>
  <c r="D5" i="59"/>
  <c r="R49" i="21"/>
  <c r="E48" i="21"/>
  <c r="I53" i="21" s="1"/>
  <c r="J53" i="21" s="1"/>
  <c r="G53" i="34"/>
  <c r="H53" i="34" s="1"/>
  <c r="G54" i="34"/>
  <c r="H54" i="34" s="1"/>
  <c r="E58" i="40"/>
  <c r="E63" i="39"/>
  <c r="R39" i="35"/>
  <c r="E38" i="35"/>
  <c r="I43" i="35" s="1"/>
  <c r="J43" i="35" s="1"/>
  <c r="I42" i="35"/>
  <c r="J42" i="35" s="1"/>
  <c r="F58" i="33"/>
  <c r="E569" i="3"/>
  <c r="Q63" i="44"/>
  <c r="Q76" i="44"/>
  <c r="AA7" i="36"/>
  <c r="R36" i="36" s="1"/>
  <c r="S7" i="36"/>
  <c r="AB7" i="36"/>
  <c r="T36" i="36" s="1"/>
  <c r="G36" i="36" s="1"/>
  <c r="U7" i="36"/>
  <c r="G42" i="35"/>
  <c r="H42" i="35" s="1"/>
  <c r="G43" i="35"/>
  <c r="H43" i="35" s="1"/>
  <c r="F52" i="37"/>
  <c r="AZ5" i="3"/>
  <c r="E413" i="3"/>
  <c r="E297" i="3"/>
  <c r="M6" i="3"/>
  <c r="E68" i="3"/>
  <c r="E475" i="3"/>
  <c r="E192" i="3"/>
  <c r="E241" i="3"/>
  <c r="E135" i="3"/>
  <c r="E421" i="3"/>
  <c r="E114" i="3"/>
  <c r="E69" i="3"/>
  <c r="E147" i="3"/>
  <c r="E206" i="3"/>
  <c r="E348" i="3"/>
  <c r="E446" i="3"/>
  <c r="E22" i="3"/>
  <c r="E93" i="3"/>
  <c r="E152" i="3"/>
  <c r="E439" i="3"/>
  <c r="E333" i="3"/>
  <c r="E394" i="3"/>
  <c r="E437" i="3"/>
  <c r="E459" i="3"/>
  <c r="E91" i="3"/>
  <c r="E55" i="3"/>
  <c r="E46" i="3"/>
  <c r="E117" i="3"/>
  <c r="E115" i="3"/>
  <c r="E282" i="3"/>
  <c r="E221" i="3"/>
  <c r="E231" i="3"/>
  <c r="E359" i="3"/>
  <c r="E457" i="3"/>
  <c r="E195" i="3"/>
  <c r="E375" i="3"/>
  <c r="E31" i="3"/>
  <c r="E470" i="3"/>
  <c r="E391" i="3"/>
  <c r="E409" i="3"/>
  <c r="E349" i="3"/>
  <c r="E36" i="3"/>
  <c r="E376" i="3"/>
  <c r="E149" i="3"/>
  <c r="E187" i="3"/>
  <c r="E131" i="3"/>
  <c r="E387" i="3"/>
  <c r="E295" i="3"/>
  <c r="E253" i="3"/>
  <c r="E237" i="3"/>
  <c r="E294" i="3"/>
  <c r="E249" i="3"/>
  <c r="E225" i="3"/>
  <c r="E304" i="3"/>
  <c r="E89" i="3"/>
  <c r="E428" i="3"/>
  <c r="E21" i="3"/>
  <c r="E199" i="3"/>
  <c r="E165" i="3"/>
  <c r="E125" i="3"/>
  <c r="E201" i="3"/>
  <c r="E54" i="3"/>
  <c r="E100" i="3"/>
  <c r="E64" i="3"/>
  <c r="E460" i="3"/>
  <c r="E423" i="3"/>
  <c r="E404" i="3"/>
  <c r="AH6" i="3"/>
  <c r="E170" i="3"/>
  <c r="E452" i="3"/>
  <c r="I3" i="6"/>
  <c r="E435" i="3"/>
  <c r="E30" i="3"/>
  <c r="E213" i="3"/>
  <c r="E343" i="3"/>
  <c r="E84" i="3"/>
  <c r="E142" i="3"/>
  <c r="E218" i="3"/>
  <c r="E397" i="3"/>
  <c r="E410" i="3"/>
  <c r="E442" i="3"/>
  <c r="E431" i="3"/>
  <c r="E462" i="3"/>
  <c r="E468" i="3"/>
  <c r="E110" i="3"/>
  <c r="E70" i="3"/>
  <c r="E47" i="3"/>
  <c r="E109" i="3"/>
  <c r="E63" i="3"/>
  <c r="E38" i="3"/>
  <c r="E185" i="3"/>
  <c r="E174" i="3"/>
  <c r="E151" i="3"/>
  <c r="E184" i="3"/>
  <c r="E148" i="3"/>
  <c r="E129" i="3"/>
  <c r="E313" i="3"/>
  <c r="E27" i="3"/>
  <c r="E98" i="3"/>
  <c r="E53" i="3"/>
  <c r="E473" i="3"/>
  <c r="E412" i="3"/>
  <c r="E422" i="3"/>
  <c r="E405" i="3"/>
  <c r="E469" i="3"/>
  <c r="E398" i="3"/>
  <c r="E289" i="3"/>
  <c r="E247" i="3"/>
  <c r="E363" i="3"/>
  <c r="E136" i="3"/>
  <c r="E113" i="3"/>
  <c r="E568" i="3"/>
  <c r="E79" i="3"/>
  <c r="E85" i="3"/>
  <c r="E425" i="3"/>
  <c r="E401" i="3"/>
  <c r="E332" i="3"/>
  <c r="E257" i="3"/>
  <c r="E245" i="3"/>
  <c r="E272" i="3"/>
  <c r="E139" i="3"/>
  <c r="E166" i="3"/>
  <c r="E52" i="3"/>
  <c r="E102" i="3"/>
  <c r="E445" i="3"/>
  <c r="O6" i="3"/>
  <c r="E451" i="3"/>
  <c r="E25" i="3"/>
  <c r="E204" i="3"/>
  <c r="U6" i="3"/>
  <c r="E258" i="3"/>
  <c r="E291" i="3"/>
  <c r="E207" i="3"/>
  <c r="E305" i="3"/>
  <c r="E479" i="3"/>
  <c r="E527" i="3"/>
  <c r="E449" i="3"/>
  <c r="E73" i="3"/>
  <c r="E43" i="3"/>
  <c r="E365" i="3"/>
  <c r="E196" i="3"/>
  <c r="E126" i="3"/>
  <c r="E276" i="3"/>
  <c r="E248" i="3"/>
  <c r="E259" i="3"/>
  <c r="E211" i="3"/>
  <c r="E370" i="3"/>
  <c r="E336" i="3"/>
  <c r="E308" i="3"/>
  <c r="Y6" i="3"/>
  <c r="E526" i="3"/>
  <c r="E416" i="3"/>
  <c r="E466" i="3"/>
  <c r="E477" i="3"/>
  <c r="E65" i="3"/>
  <c r="E96" i="3"/>
  <c r="E51" i="3"/>
  <c r="E160" i="3"/>
  <c r="E134" i="3"/>
  <c r="E345" i="3"/>
  <c r="E242" i="3"/>
  <c r="E281" i="3"/>
  <c r="E72" i="3"/>
  <c r="E133" i="3"/>
  <c r="E290" i="3"/>
  <c r="E239" i="3"/>
  <c r="E440" i="3"/>
  <c r="E87" i="3"/>
  <c r="AF6" i="3"/>
  <c r="E234" i="3"/>
  <c r="E331" i="3"/>
  <c r="E458" i="3"/>
  <c r="E40" i="3"/>
  <c r="E128" i="3"/>
  <c r="E29" i="3"/>
  <c r="E176" i="3"/>
  <c r="E150" i="3"/>
  <c r="E256" i="3"/>
  <c r="E228" i="3"/>
  <c r="E554" i="3"/>
  <c r="E456" i="3"/>
  <c r="E325" i="3"/>
  <c r="E286" i="3"/>
  <c r="E396" i="3"/>
  <c r="E50" i="3"/>
  <c r="E183" i="3"/>
  <c r="AJ6" i="3"/>
  <c r="E216" i="3"/>
  <c r="E236" i="3"/>
  <c r="E320" i="3"/>
  <c r="E392" i="3"/>
  <c r="E474" i="3"/>
  <c r="E45" i="3"/>
  <c r="E15" i="3"/>
  <c r="E171" i="3"/>
  <c r="E284" i="3"/>
  <c r="E251" i="3"/>
  <c r="E360" i="3"/>
  <c r="E42" i="3"/>
  <c r="E56" i="3"/>
  <c r="E181" i="3"/>
  <c r="E122" i="3"/>
  <c r="E269" i="3"/>
  <c r="E208" i="3"/>
  <c r="E219" i="3"/>
  <c r="E344" i="3"/>
  <c r="E571" i="3"/>
  <c r="E366" i="3"/>
  <c r="E518" i="3"/>
  <c r="E532" i="3"/>
  <c r="E497" i="3"/>
  <c r="E167" i="3"/>
  <c r="E553" i="3"/>
  <c r="E130" i="3"/>
  <c r="E273" i="3"/>
  <c r="E352" i="3"/>
  <c r="E542" i="3"/>
  <c r="E461" i="3"/>
  <c r="E138" i="3"/>
  <c r="E254" i="3"/>
  <c r="E328" i="3"/>
  <c r="E112" i="3"/>
  <c r="E519" i="3"/>
  <c r="E341" i="3"/>
  <c r="E155" i="3"/>
  <c r="E268" i="3"/>
  <c r="E252" i="3"/>
  <c r="E175" i="3"/>
  <c r="E541" i="3"/>
  <c r="E23" i="3"/>
  <c r="E41" i="3"/>
  <c r="E471" i="3"/>
  <c r="E418" i="3"/>
  <c r="E408" i="3"/>
  <c r="E92" i="3"/>
  <c r="E238" i="3"/>
  <c r="E414" i="3"/>
  <c r="E44" i="3"/>
  <c r="E202" i="3"/>
  <c r="E83" i="3"/>
  <c r="E186" i="3"/>
  <c r="E124" i="3"/>
  <c r="E311" i="3"/>
  <c r="E222" i="3"/>
  <c r="E263" i="3"/>
  <c r="E388" i="3"/>
  <c r="E424" i="3"/>
  <c r="E430" i="3"/>
  <c r="E82" i="3"/>
  <c r="E146" i="3"/>
  <c r="E164" i="3"/>
  <c r="E77" i="3"/>
  <c r="E99" i="3"/>
  <c r="E434" i="3"/>
  <c r="E262" i="3"/>
  <c r="E552" i="3"/>
  <c r="E101" i="3"/>
  <c r="E57" i="3"/>
  <c r="E274" i="3"/>
  <c r="E463" i="3"/>
  <c r="E292" i="3"/>
  <c r="E426" i="3"/>
  <c r="E447" i="3"/>
  <c r="E33" i="3"/>
  <c r="E75" i="3"/>
  <c r="E119" i="3"/>
  <c r="E97" i="3"/>
  <c r="AE6" i="3"/>
  <c r="E533" i="3"/>
  <c r="E37" i="3"/>
  <c r="E303" i="3"/>
  <c r="AT6" i="3"/>
  <c r="E429" i="3"/>
  <c r="E116" i="3"/>
  <c r="E372" i="3"/>
  <c r="E465" i="3"/>
  <c r="E154" i="3"/>
  <c r="E243" i="3"/>
  <c r="V6" i="3"/>
  <c r="E105" i="3"/>
  <c r="AG6" i="3"/>
  <c r="E121" i="3"/>
  <c r="E224" i="3"/>
  <c r="E123" i="3"/>
  <c r="E66" i="3"/>
  <c r="E76" i="3"/>
  <c r="E24" i="3"/>
  <c r="E306" i="3"/>
  <c r="E180" i="3"/>
  <c r="E246" i="3"/>
  <c r="E16" i="3"/>
  <c r="E524" i="3"/>
  <c r="E19" i="3"/>
  <c r="E212" i="3"/>
  <c r="E35" i="3"/>
  <c r="E182" i="3"/>
  <c r="E267" i="3"/>
  <c r="E323" i="3"/>
  <c r="E514" i="3"/>
  <c r="E512" i="3"/>
  <c r="E371" i="3"/>
  <c r="E567" i="3"/>
  <c r="E329" i="3"/>
  <c r="E26" i="3"/>
  <c r="E17" i="3"/>
  <c r="E18" i="3"/>
  <c r="E509" i="3"/>
  <c r="E86" i="3"/>
  <c r="AO6" i="3"/>
  <c r="E411" i="3"/>
  <c r="E395" i="3"/>
  <c r="E250" i="3"/>
  <c r="E443" i="3"/>
  <c r="E156" i="3"/>
  <c r="E265" i="3"/>
  <c r="E381" i="3"/>
  <c r="E194" i="3"/>
  <c r="E49" i="3"/>
  <c r="AM6" i="3"/>
  <c r="E427" i="3"/>
  <c r="E78" i="3"/>
  <c r="E193" i="3"/>
  <c r="E337" i="3"/>
  <c r="E278" i="3"/>
  <c r="E390" i="3"/>
  <c r="E104" i="3"/>
  <c r="E158" i="3"/>
  <c r="E94" i="3"/>
  <c r="E296" i="3"/>
  <c r="E534" i="3"/>
  <c r="E472" i="3"/>
  <c r="AA6" i="3"/>
  <c r="E127" i="3"/>
  <c r="AD6" i="3"/>
  <c r="E266" i="3"/>
  <c r="E299" i="3"/>
  <c r="E215" i="3"/>
  <c r="E327" i="3"/>
  <c r="I6" i="3"/>
  <c r="E103" i="3"/>
  <c r="E200" i="3"/>
  <c r="Z6" i="3"/>
  <c r="E62" i="3"/>
  <c r="E454" i="3"/>
  <c r="E389" i="3"/>
  <c r="E230" i="3"/>
  <c r="AK6" i="3"/>
  <c r="E143" i="3"/>
  <c r="E223" i="3"/>
  <c r="E441" i="3"/>
  <c r="E205" i="3"/>
  <c r="E367" i="3"/>
  <c r="E399" i="3"/>
  <c r="E415" i="3"/>
  <c r="E478" i="3"/>
  <c r="E80" i="3"/>
  <c r="E317" i="3"/>
  <c r="E28" i="3"/>
  <c r="E357" i="3"/>
  <c r="E141" i="3"/>
  <c r="E179" i="3"/>
  <c r="E168" i="3"/>
  <c r="AS6" i="3"/>
  <c r="E34" i="3"/>
  <c r="E444" i="3"/>
  <c r="E407" i="3"/>
  <c r="E383" i="3"/>
  <c r="W6" i="3"/>
  <c r="E293" i="3"/>
  <c r="E19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91" i="3"/>
  <c r="E300" i="3"/>
  <c r="E555" i="3"/>
  <c r="E379" i="3"/>
  <c r="E355" i="3"/>
  <c r="E499" i="3"/>
  <c r="E403" i="3"/>
  <c r="E173" i="3"/>
  <c r="E217" i="3"/>
  <c r="E436" i="3"/>
  <c r="E177" i="3"/>
  <c r="E260" i="3"/>
  <c r="E307" i="3"/>
  <c r="E432" i="3"/>
  <c r="E90" i="3"/>
  <c r="E153" i="3"/>
  <c r="E210" i="3"/>
  <c r="E339" i="3"/>
  <c r="E106" i="3"/>
  <c r="E169" i="3"/>
  <c r="E118" i="3"/>
  <c r="E226" i="3"/>
  <c r="E378" i="3"/>
  <c r="E163" i="3"/>
  <c r="E364" i="3"/>
  <c r="E351" i="3"/>
  <c r="E342" i="3"/>
  <c r="AL6" i="3"/>
  <c r="E368" i="3"/>
  <c r="E572" i="3"/>
  <c r="E510" i="3"/>
  <c r="E227" i="3"/>
  <c r="E406" i="3"/>
  <c r="E488" i="3"/>
  <c r="E244" i="3"/>
  <c r="E71" i="3"/>
  <c r="E137" i="3"/>
  <c r="E240" i="3"/>
  <c r="E301" i="3"/>
  <c r="E382" i="3"/>
  <c r="E326" i="3"/>
  <c r="E356" i="3"/>
  <c r="E476" i="3"/>
  <c r="E283" i="3"/>
  <c r="AN6" i="3"/>
  <c r="E280" i="3"/>
  <c r="E59" i="3"/>
  <c r="E270" i="3"/>
  <c r="E464" i="3"/>
  <c r="E157" i="3"/>
  <c r="E209" i="3"/>
  <c r="E161" i="3"/>
  <c r="E450" i="3"/>
  <c r="E32" i="3"/>
  <c r="E60" i="3"/>
  <c r="Q6" i="3"/>
  <c r="E178" i="3"/>
  <c r="J6" i="3"/>
  <c r="E48" i="3"/>
  <c r="E438" i="3"/>
  <c r="E455" i="3"/>
  <c r="E232" i="3"/>
  <c r="E189" i="3"/>
  <c r="E507" i="3"/>
  <c r="E275" i="3"/>
  <c r="L6" i="3"/>
  <c r="E467" i="3"/>
  <c r="E67" i="3"/>
  <c r="E214" i="3"/>
  <c r="E486" i="3"/>
  <c r="E543" i="3"/>
  <c r="E264" i="3"/>
  <c r="E369" i="3"/>
  <c r="E309" i="3"/>
  <c r="E448" i="3"/>
  <c r="E74" i="3"/>
  <c r="E505" i="3"/>
  <c r="E419" i="3"/>
  <c r="E302" i="3"/>
  <c r="E386" i="3"/>
  <c r="E287" i="3"/>
  <c r="E188" i="3"/>
  <c r="E271" i="3"/>
  <c r="E508" i="3"/>
  <c r="E493" i="3"/>
  <c r="E108" i="3"/>
  <c r="E81" i="3"/>
  <c r="E277" i="3"/>
  <c r="E385" i="3"/>
  <c r="E95" i="3"/>
  <c r="E498" i="3"/>
  <c r="E298" i="3"/>
  <c r="E361" i="3"/>
  <c r="E315" i="3"/>
  <c r="E312" i="3"/>
  <c r="E159" i="3"/>
  <c r="E501" i="3"/>
  <c r="E384" i="3"/>
  <c r="E310" i="3"/>
  <c r="E487" i="3"/>
  <c r="AB6" i="3"/>
  <c r="S6" i="3"/>
  <c r="E322" i="3"/>
  <c r="E377" i="3"/>
  <c r="E358" i="3"/>
  <c r="E20" i="3"/>
  <c r="E560" i="3"/>
  <c r="E550" i="3"/>
  <c r="E559" i="3"/>
  <c r="E556" i="3"/>
  <c r="E530" i="3"/>
  <c r="E529" i="3"/>
  <c r="E522" i="3"/>
  <c r="E513" i="3"/>
  <c r="E484" i="3"/>
  <c r="E483" i="3"/>
  <c r="E566" i="3"/>
  <c r="E545" i="3"/>
  <c r="E562" i="3"/>
  <c r="E539" i="3"/>
  <c r="E531" i="3"/>
  <c r="E525" i="3"/>
  <c r="E496" i="3"/>
  <c r="E494" i="3"/>
  <c r="E350" i="3"/>
  <c r="E338" i="3"/>
  <c r="E330" i="3"/>
  <c r="E316" i="3"/>
  <c r="E374" i="3"/>
  <c r="E340" i="3"/>
  <c r="E198" i="3"/>
  <c r="E140" i="3"/>
  <c r="E321" i="3"/>
  <c r="E506" i="3"/>
  <c r="X6" i="3"/>
  <c r="R6" i="3"/>
  <c r="N6" i="3"/>
  <c r="AI6" i="3"/>
  <c r="E335" i="3"/>
  <c r="E319" i="3"/>
  <c r="E373" i="3"/>
  <c r="K6" i="3"/>
  <c r="E563" i="3"/>
  <c r="E544" i="3"/>
  <c r="E523" i="3"/>
  <c r="E521" i="3"/>
  <c r="E495" i="3"/>
  <c r="E491" i="3"/>
  <c r="E490" i="3"/>
  <c r="E538" i="3"/>
  <c r="E565" i="3"/>
  <c r="E551" i="3"/>
  <c r="E548" i="3"/>
  <c r="E120" i="3"/>
  <c r="E558" i="3"/>
  <c r="E547" i="3"/>
  <c r="E516" i="3"/>
  <c r="E504" i="3"/>
  <c r="E502" i="3"/>
  <c r="E492" i="3"/>
  <c r="E485" i="3"/>
  <c r="E14" i="3"/>
  <c r="E549" i="3"/>
  <c r="E536" i="3"/>
  <c r="E515" i="3"/>
  <c r="E13" i="3"/>
  <c r="E354" i="3"/>
  <c r="E346" i="3"/>
  <c r="E334" i="3"/>
  <c r="E318" i="3"/>
  <c r="E314" i="3"/>
  <c r="E144" i="3"/>
  <c r="E132" i="3"/>
  <c r="E353" i="3"/>
  <c r="E570" i="3"/>
  <c r="T6" i="3"/>
  <c r="P6" i="3"/>
  <c r="AR6" i="3"/>
  <c r="AP6" i="3"/>
  <c r="E380" i="3"/>
  <c r="E324" i="3"/>
  <c r="E537" i="3"/>
  <c r="E362" i="3"/>
  <c r="E561" i="3"/>
  <c r="E557" i="3"/>
  <c r="E546" i="3"/>
  <c r="E540" i="3"/>
  <c r="E503" i="3"/>
  <c r="E482" i="3"/>
  <c r="M107" i="46"/>
  <c r="M102" i="46"/>
  <c r="M109" i="46"/>
  <c r="M106" i="46"/>
  <c r="M103" i="46"/>
  <c r="M104" i="46"/>
  <c r="M105" i="46"/>
  <c r="D106" i="46"/>
  <c r="D105" i="46"/>
  <c r="D107" i="46"/>
  <c r="D104" i="46"/>
  <c r="D103" i="46"/>
  <c r="D102" i="46"/>
  <c r="D109" i="46"/>
  <c r="D22" i="46"/>
  <c r="G103" i="46"/>
  <c r="G106" i="46"/>
  <c r="G107" i="46"/>
  <c r="G109" i="46"/>
  <c r="G102" i="46"/>
  <c r="G105" i="46"/>
  <c r="G104" i="46"/>
  <c r="I115" i="46"/>
  <c r="J115" i="46" s="1"/>
  <c r="K115" i="46" s="1"/>
  <c r="L115" i="46" s="1"/>
  <c r="M115" i="46" s="1"/>
  <c r="B117" i="46"/>
  <c r="C117" i="46" s="1"/>
  <c r="D115" i="46"/>
  <c r="E115" i="46" s="1"/>
  <c r="F115" i="46" s="1"/>
  <c r="G115" i="46" s="1"/>
  <c r="H115" i="46" s="1"/>
  <c r="I118" i="46"/>
  <c r="J118" i="46" s="1"/>
  <c r="K118" i="46" s="1"/>
  <c r="L118" i="46" s="1"/>
  <c r="M118" i="46" s="1"/>
  <c r="D116" i="46"/>
  <c r="E116" i="46" s="1"/>
  <c r="F116" i="46" s="1"/>
  <c r="G116" i="46" s="1"/>
  <c r="H116" i="46" s="1"/>
  <c r="B118" i="46"/>
  <c r="C118" i="46" s="1"/>
  <c r="I116" i="46"/>
  <c r="J116" i="46" s="1"/>
  <c r="K116" i="46" s="1"/>
  <c r="L116" i="46" s="1"/>
  <c r="M116" i="46" s="1"/>
  <c r="B115" i="46"/>
  <c r="B116" i="46"/>
  <c r="C116" i="46" s="1"/>
  <c r="D117" i="46"/>
  <c r="E117" i="46" s="1"/>
  <c r="F117" i="46" s="1"/>
  <c r="G117" i="46" s="1"/>
  <c r="H117" i="46" s="1"/>
  <c r="D118" i="46"/>
  <c r="E118" i="46" s="1"/>
  <c r="F118" i="46" s="1"/>
  <c r="I117" i="46"/>
  <c r="J117" i="46" s="1"/>
  <c r="K117" i="46" s="1"/>
  <c r="L117" i="46" s="1"/>
  <c r="M117" i="46" s="1"/>
  <c r="G118" i="46"/>
  <c r="H118" i="46" s="1"/>
  <c r="L106" i="46"/>
  <c r="L107" i="46"/>
  <c r="L109" i="46"/>
  <c r="L103" i="46"/>
  <c r="L105" i="46"/>
  <c r="L102" i="46"/>
  <c r="L104" i="46"/>
  <c r="E103" i="46"/>
  <c r="E107" i="46"/>
  <c r="E102" i="46"/>
  <c r="E104" i="46"/>
  <c r="E105" i="46"/>
  <c r="E106" i="46"/>
  <c r="E109" i="46"/>
  <c r="K107" i="46"/>
  <c r="K102" i="46"/>
  <c r="K106" i="46"/>
  <c r="K105" i="46"/>
  <c r="K109" i="46"/>
  <c r="K104" i="46"/>
  <c r="K103" i="46"/>
  <c r="F106" i="46"/>
  <c r="F103" i="46"/>
  <c r="F104" i="46"/>
  <c r="F109" i="46"/>
  <c r="C23" i="46" s="1"/>
  <c r="C21" i="46" s="1"/>
  <c r="F102" i="46"/>
  <c r="F107" i="46"/>
  <c r="F105" i="46"/>
  <c r="R50" i="34"/>
  <c r="E49" i="34"/>
  <c r="E528" i="3"/>
  <c r="E481" i="3"/>
  <c r="O12" i="1"/>
  <c r="P12" i="1" s="1"/>
  <c r="T16" i="59"/>
  <c r="D16" i="59"/>
  <c r="O50" i="59"/>
  <c r="O49" i="59"/>
  <c r="D50" i="59"/>
  <c r="E65" i="39"/>
  <c r="E60" i="40"/>
  <c r="I40" i="36"/>
  <c r="J40" i="36" s="1"/>
  <c r="E535" i="3"/>
  <c r="E489" i="3"/>
  <c r="K26" i="6"/>
  <c r="M26" i="6" s="1"/>
  <c r="I26" i="6" s="1"/>
  <c r="S26" i="6" s="1"/>
  <c r="K24" i="6"/>
  <c r="K22" i="6"/>
  <c r="K23" i="6"/>
  <c r="K25" i="6"/>
  <c r="M25" i="6" s="1"/>
  <c r="I25" i="6" s="1"/>
  <c r="S25" i="6" s="1"/>
  <c r="K21" i="6"/>
  <c r="E30" i="6"/>
  <c r="E31" i="6" s="1"/>
  <c r="K20" i="6"/>
  <c r="K19" i="6"/>
  <c r="S6" i="1" s="1"/>
  <c r="K14" i="1"/>
  <c r="Q75" i="44"/>
  <c r="Q62" i="44"/>
  <c r="F11" i="15"/>
  <c r="F13" i="44"/>
  <c r="C12" i="44" s="1"/>
  <c r="C7" i="44" s="1"/>
  <c r="M11" i="15"/>
  <c r="J10" i="15" s="1"/>
  <c r="J5" i="15" s="1"/>
  <c r="M13" i="44"/>
  <c r="J12" i="44" s="1"/>
  <c r="Q54" i="44"/>
  <c r="F1" i="44"/>
  <c r="J8" i="44"/>
  <c r="F41" i="15"/>
  <c r="C16" i="69"/>
  <c r="C16" i="72"/>
  <c r="E2" i="65"/>
  <c r="C16" i="71"/>
  <c r="C16" i="70"/>
  <c r="C17" i="15"/>
  <c r="B40" i="1" l="1"/>
  <c r="F24" i="72" s="1"/>
  <c r="C24" i="72" s="1"/>
  <c r="C52" i="74"/>
  <c r="C47" i="74" s="1"/>
  <c r="C10" i="74"/>
  <c r="C5" i="74" s="1"/>
  <c r="J24" i="74"/>
  <c r="J18" i="74"/>
  <c r="J26" i="74"/>
  <c r="M24" i="6"/>
  <c r="I24" i="6" s="1"/>
  <c r="S24" i="6" s="1"/>
  <c r="S11" i="1"/>
  <c r="F26" i="44"/>
  <c r="C26" i="44" s="1"/>
  <c r="J5" i="69"/>
  <c r="J24" i="69" s="1"/>
  <c r="F24" i="15"/>
  <c r="C24" i="15" s="1"/>
  <c r="F68" i="15"/>
  <c r="J5" i="70"/>
  <c r="J18" i="70" s="1"/>
  <c r="J5" i="71"/>
  <c r="J18" i="71" s="1"/>
  <c r="J5" i="72"/>
  <c r="J24" i="72" s="1"/>
  <c r="G65" i="40"/>
  <c r="F67" i="40"/>
  <c r="Q74" i="72"/>
  <c r="Q61" i="72"/>
  <c r="Q74" i="70"/>
  <c r="Q61" i="70"/>
  <c r="F1" i="69"/>
  <c r="Q53" i="69"/>
  <c r="Q58" i="69"/>
  <c r="Q67" i="69"/>
  <c r="Q58" i="72"/>
  <c r="Q67" i="72"/>
  <c r="Q58" i="70"/>
  <c r="Q67" i="70"/>
  <c r="Q62" i="69"/>
  <c r="Q75" i="69"/>
  <c r="C48" i="71"/>
  <c r="Q75" i="71"/>
  <c r="Q62" i="71"/>
  <c r="F1" i="71"/>
  <c r="Q53" i="71"/>
  <c r="Q58" i="71"/>
  <c r="Q67" i="71"/>
  <c r="P17" i="46"/>
  <c r="N17" i="46"/>
  <c r="M17" i="46"/>
  <c r="G20" i="46" s="1"/>
  <c r="C20" i="46" s="1"/>
  <c r="O17" i="46"/>
  <c r="Q62" i="72"/>
  <c r="Q75" i="72"/>
  <c r="Q75" i="70"/>
  <c r="Q62" i="70"/>
  <c r="F1" i="72"/>
  <c r="Q53" i="72"/>
  <c r="F1" i="70"/>
  <c r="Q53" i="70"/>
  <c r="Q74" i="69"/>
  <c r="Q61" i="69"/>
  <c r="Q74" i="71"/>
  <c r="Q61" i="71"/>
  <c r="J26" i="72"/>
  <c r="C52" i="72"/>
  <c r="C47" i="72" s="1"/>
  <c r="C10" i="72"/>
  <c r="C5" i="72" s="1"/>
  <c r="J24" i="71"/>
  <c r="C52" i="71"/>
  <c r="C10" i="71"/>
  <c r="C5" i="71" s="1"/>
  <c r="J26" i="70"/>
  <c r="C52" i="70"/>
  <c r="C47" i="70" s="1"/>
  <c r="C10" i="70"/>
  <c r="C5" i="70" s="1"/>
  <c r="J18" i="69"/>
  <c r="C52" i="69"/>
  <c r="C47" i="69" s="1"/>
  <c r="C10" i="69"/>
  <c r="C5" i="69" s="1"/>
  <c r="M23" i="6"/>
  <c r="I23" i="6" s="1"/>
  <c r="S23" i="6" s="1"/>
  <c r="S10" i="1"/>
  <c r="M22" i="6"/>
  <c r="I22" i="6" s="1"/>
  <c r="S22" i="6" s="1"/>
  <c r="S9" i="1"/>
  <c r="M20" i="6"/>
  <c r="I20" i="6" s="1"/>
  <c r="S20" i="6" s="1"/>
  <c r="S7" i="1"/>
  <c r="M21" i="6"/>
  <c r="I21" i="6" s="1"/>
  <c r="S21" i="6" s="1"/>
  <c r="S8" i="1"/>
  <c r="H6" i="3"/>
  <c r="AC6" i="3"/>
  <c r="S2" i="46"/>
  <c r="S3" i="46"/>
  <c r="S6" i="46"/>
  <c r="S7" i="46"/>
  <c r="S5" i="46"/>
  <c r="S4" i="46"/>
  <c r="G70" i="39"/>
  <c r="F72" i="39"/>
  <c r="C40" i="44"/>
  <c r="C34" i="44"/>
  <c r="M14" i="1"/>
  <c r="K16" i="1"/>
  <c r="J7" i="44"/>
  <c r="J18" i="15"/>
  <c r="J24" i="15"/>
  <c r="J26" i="15"/>
  <c r="J29" i="15" s="1"/>
  <c r="C52" i="15"/>
  <c r="C47" i="15" s="1"/>
  <c r="C10" i="15"/>
  <c r="C5" i="15" s="1"/>
  <c r="M19" i="6"/>
  <c r="K27" i="6"/>
  <c r="C50" i="34"/>
  <c r="B3" i="34" s="1"/>
  <c r="B2" i="34" s="1"/>
  <c r="C49" i="34"/>
  <c r="C115" i="46"/>
  <c r="D113" i="46" s="1"/>
  <c r="E43" i="35"/>
  <c r="F43" i="35" s="1"/>
  <c r="E42" i="35"/>
  <c r="F42" i="35" s="1"/>
  <c r="E53" i="21"/>
  <c r="F53" i="21" s="1"/>
  <c r="E52" i="21"/>
  <c r="F52" i="21" s="1"/>
  <c r="T20" i="59"/>
  <c r="D20" i="59"/>
  <c r="M20" i="46" s="1"/>
  <c r="C19" i="46" s="1"/>
  <c r="AC12" i="39"/>
  <c r="W12" i="39"/>
  <c r="AA12" i="40"/>
  <c r="S12" i="40"/>
  <c r="U12" i="39"/>
  <c r="AB12" i="39"/>
  <c r="E54" i="34"/>
  <c r="F54" i="34" s="1"/>
  <c r="E53" i="34"/>
  <c r="F53" i="34" s="1"/>
  <c r="E3" i="6"/>
  <c r="AY6" i="3"/>
  <c r="G52" i="37"/>
  <c r="H52" i="37" s="1"/>
  <c r="I52" i="37" s="1"/>
  <c r="J52" i="37" s="1"/>
  <c r="K52" i="37" s="1"/>
  <c r="L52" i="37" s="1"/>
  <c r="M52" i="37" s="1"/>
  <c r="N52" i="37" s="1"/>
  <c r="O52" i="37" s="1"/>
  <c r="H7" i="37"/>
  <c r="F7" i="37"/>
  <c r="G41" i="36"/>
  <c r="H41" i="36" s="1"/>
  <c r="G40" i="36"/>
  <c r="H40" i="36" s="1"/>
  <c r="E36" i="36"/>
  <c r="R37" i="36"/>
  <c r="G58" i="33"/>
  <c r="H58" i="33" s="1"/>
  <c r="I58" i="33" s="1"/>
  <c r="J58" i="33" s="1"/>
  <c r="K58" i="33" s="1"/>
  <c r="L58" i="33" s="1"/>
  <c r="M58" i="33" s="1"/>
  <c r="N58" i="33" s="1"/>
  <c r="O58" i="33" s="1"/>
  <c r="J7" i="33"/>
  <c r="C38" i="35"/>
  <c r="C39" i="35"/>
  <c r="B3" i="35" s="1"/>
  <c r="B2" i="35" s="1"/>
  <c r="C49" i="21"/>
  <c r="B3" i="21" s="1"/>
  <c r="B2" i="21" s="1"/>
  <c r="C48" i="21"/>
  <c r="AB12" i="40"/>
  <c r="U12" i="40"/>
  <c r="W12" i="40"/>
  <c r="AC12" i="40"/>
  <c r="AA12" i="39"/>
  <c r="S12" i="39"/>
  <c r="I54" i="34"/>
  <c r="J54" i="34" s="1"/>
  <c r="C19" i="11"/>
  <c r="C17" i="72"/>
  <c r="C17" i="69"/>
  <c r="AE9" i="1"/>
  <c r="AE8" i="1"/>
  <c r="F41" i="74"/>
  <c r="AE7" i="1"/>
  <c r="C17" i="70"/>
  <c r="AE10" i="1"/>
  <c r="F41" i="72"/>
  <c r="C17" i="71"/>
  <c r="L52" i="44"/>
  <c r="F21" i="43" l="1"/>
  <c r="C23" i="43" s="1"/>
  <c r="D21" i="43" s="1"/>
  <c r="F24" i="74"/>
  <c r="C24" i="74" s="1"/>
  <c r="F24" i="70"/>
  <c r="C24" i="70" s="1"/>
  <c r="F26" i="12"/>
  <c r="C27" i="12" s="1"/>
  <c r="D26" i="12" s="1"/>
  <c r="C32" i="12" s="1"/>
  <c r="D30" i="12" s="1"/>
  <c r="F24" i="69"/>
  <c r="C24" i="69" s="1"/>
  <c r="F24" i="71"/>
  <c r="C24" i="71" s="1"/>
  <c r="J24" i="70"/>
  <c r="J18" i="72"/>
  <c r="F68" i="74"/>
  <c r="J29" i="74"/>
  <c r="C33" i="74"/>
  <c r="C32" i="74"/>
  <c r="C38" i="74"/>
  <c r="C60" i="74"/>
  <c r="C59" i="74"/>
  <c r="C65" i="74"/>
  <c r="J26" i="69"/>
  <c r="J26" i="71"/>
  <c r="C47" i="71"/>
  <c r="C59" i="71" s="1"/>
  <c r="F68" i="72"/>
  <c r="J29" i="72"/>
  <c r="S16" i="1"/>
  <c r="T7" i="1" s="1"/>
  <c r="H65" i="40"/>
  <c r="G67" i="40"/>
  <c r="C60" i="72"/>
  <c r="C59" i="72"/>
  <c r="C65" i="72"/>
  <c r="C38" i="72"/>
  <c r="C33" i="72"/>
  <c r="C32" i="72"/>
  <c r="C38" i="71"/>
  <c r="C33" i="71"/>
  <c r="C32" i="71"/>
  <c r="C60" i="70"/>
  <c r="C59" i="70"/>
  <c r="C65" i="70"/>
  <c r="C33" i="70"/>
  <c r="C32" i="70"/>
  <c r="C38" i="70"/>
  <c r="C33" i="69"/>
  <c r="C32" i="69"/>
  <c r="C38" i="69"/>
  <c r="C60" i="69"/>
  <c r="C59" i="69"/>
  <c r="C65" i="69"/>
  <c r="E6" i="3"/>
  <c r="G72" i="39"/>
  <c r="H70" i="39"/>
  <c r="Q69" i="44"/>
  <c r="L58" i="44"/>
  <c r="L61" i="44" s="1"/>
  <c r="C36" i="46"/>
  <c r="C34" i="46"/>
  <c r="C33" i="46"/>
  <c r="C35" i="46"/>
  <c r="C39" i="46"/>
  <c r="C37" i="46"/>
  <c r="T2" i="46"/>
  <c r="V2" i="46" s="1"/>
  <c r="T3" i="46"/>
  <c r="V3" i="46" s="1"/>
  <c r="T9" i="46"/>
  <c r="V9" i="46" s="1"/>
  <c r="T10" i="46"/>
  <c r="V10" i="46" s="1"/>
  <c r="T5" i="46"/>
  <c r="V5" i="46" s="1"/>
  <c r="T15" i="46"/>
  <c r="V15" i="46" s="1"/>
  <c r="T12" i="46"/>
  <c r="V12" i="46" s="1"/>
  <c r="T13" i="46"/>
  <c r="V13" i="46" s="1"/>
  <c r="C38" i="46"/>
  <c r="C29" i="46"/>
  <c r="T7" i="46"/>
  <c r="V7" i="46" s="1"/>
  <c r="T4" i="46"/>
  <c r="V4" i="46" s="1"/>
  <c r="T6" i="46"/>
  <c r="V6" i="46" s="1"/>
  <c r="T14" i="46"/>
  <c r="V14" i="46" s="1"/>
  <c r="T11" i="46"/>
  <c r="V11" i="46" s="1"/>
  <c r="T8" i="46"/>
  <c r="V8" i="46" s="1"/>
  <c r="T16" i="46"/>
  <c r="V16" i="46" s="1"/>
  <c r="C20" i="11"/>
  <c r="C21" i="11" s="1"/>
  <c r="C22" i="11" s="1"/>
  <c r="C23" i="11" s="1"/>
  <c r="B2" i="11" s="1"/>
  <c r="AC7" i="33"/>
  <c r="V48" i="33" s="1"/>
  <c r="I48" i="33" s="1"/>
  <c r="W7" i="33"/>
  <c r="E41" i="36"/>
  <c r="F41" i="36" s="1"/>
  <c r="E40" i="36"/>
  <c r="F40" i="36" s="1"/>
  <c r="I41" i="36"/>
  <c r="J41" i="36" s="1"/>
  <c r="F7" i="33"/>
  <c r="C37" i="36"/>
  <c r="B3" i="36" s="1"/>
  <c r="B2" i="36" s="1"/>
  <c r="C36" i="36"/>
  <c r="AA7" i="37"/>
  <c r="R42" i="37" s="1"/>
  <c r="S7" i="37"/>
  <c r="D16" i="43"/>
  <c r="C16" i="43" s="1"/>
  <c r="D16" i="12"/>
  <c r="E6" i="6"/>
  <c r="L38" i="9"/>
  <c r="B14" i="66" s="1"/>
  <c r="B1" i="66" s="1"/>
  <c r="D45" i="9"/>
  <c r="C21" i="4"/>
  <c r="O5" i="54" s="1"/>
  <c r="B45" i="63" s="1"/>
  <c r="D10" i="11"/>
  <c r="D46" i="9"/>
  <c r="I19" i="6"/>
  <c r="M27" i="6"/>
  <c r="C59" i="15"/>
  <c r="C65" i="15"/>
  <c r="H7" i="33"/>
  <c r="AB7" i="37"/>
  <c r="T42" i="37" s="1"/>
  <c r="G42" i="37" s="1"/>
  <c r="U7" i="37"/>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74" i="3"/>
  <c r="AY356" i="3"/>
  <c r="AY304" i="3"/>
  <c r="AY329" i="3"/>
  <c r="AY311" i="3"/>
  <c r="AY569" i="3"/>
  <c r="AY445" i="3"/>
  <c r="AY471" i="3"/>
  <c r="AY123" i="3"/>
  <c r="AY44" i="3"/>
  <c r="AY38" i="3"/>
  <c r="AY131" i="3"/>
  <c r="AY172" i="3"/>
  <c r="AY148" i="3"/>
  <c r="AY200" i="3"/>
  <c r="AY138" i="3"/>
  <c r="AY183" i="3"/>
  <c r="AY288" i="3"/>
  <c r="AY206" i="3"/>
  <c r="AY257" i="3"/>
  <c r="AY371" i="3"/>
  <c r="AY335" i="3"/>
  <c r="AY316" i="3"/>
  <c r="AY318" i="3"/>
  <c r="AY520" i="3"/>
  <c r="BA6" i="3"/>
  <c r="AY29" i="3"/>
  <c r="AY147" i="3"/>
  <c r="AY249" i="3"/>
  <c r="AY283" i="3"/>
  <c r="AY367" i="3"/>
  <c r="AY561" i="3"/>
  <c r="AY394" i="3"/>
  <c r="AY85" i="3"/>
  <c r="AY197" i="3"/>
  <c r="AY266" i="3"/>
  <c r="AY359" i="3"/>
  <c r="AY369" i="3"/>
  <c r="AY76" i="3"/>
  <c r="AY156" i="3"/>
  <c r="AY211" i="3"/>
  <c r="AY319" i="3"/>
  <c r="AY562" i="3"/>
  <c r="BQ6" i="3"/>
  <c r="AY396" i="3"/>
  <c r="BT6" i="3"/>
  <c r="AY406" i="3"/>
  <c r="AY151" i="3"/>
  <c r="AY314" i="3"/>
  <c r="BH6" i="3"/>
  <c r="AY360" i="3"/>
  <c r="AY320" i="3"/>
  <c r="AY86" i="3"/>
  <c r="AY27" i="3"/>
  <c r="AY24" i="3"/>
  <c r="AY268" i="3"/>
  <c r="AY431" i="3"/>
  <c r="BN6" i="3"/>
  <c r="AY239" i="3"/>
  <c r="AY407" i="3"/>
  <c r="AY500" i="3"/>
  <c r="AY552" i="3"/>
  <c r="AY107" i="3"/>
  <c r="AY244" i="3"/>
  <c r="AY415" i="3"/>
  <c r="AY152" i="3"/>
  <c r="AY461" i="3"/>
  <c r="AY489" i="3"/>
  <c r="AY503" i="3"/>
  <c r="AY553" i="3"/>
  <c r="AY66" i="3"/>
  <c r="AY242" i="3"/>
  <c r="AY325" i="3"/>
  <c r="AY78" i="3"/>
  <c r="AY174" i="3"/>
  <c r="BF6" i="3"/>
  <c r="AY153" i="3"/>
  <c r="AY351" i="3"/>
  <c r="AY447" i="3"/>
  <c r="AY358" i="3"/>
  <c r="AY375" i="3"/>
  <c r="AY328" i="3"/>
  <c r="AY185" i="3"/>
  <c r="AY344" i="3"/>
  <c r="AY559" i="3"/>
  <c r="AY63" i="3"/>
  <c r="AY483" i="3"/>
  <c r="AY223" i="3"/>
  <c r="AY506" i="3"/>
  <c r="AY71" i="3"/>
  <c r="AY108" i="3"/>
  <c r="AY190" i="3"/>
  <c r="AY240" i="3"/>
  <c r="AY440" i="3"/>
  <c r="AY60" i="3"/>
  <c r="AY235" i="3"/>
  <c r="AY475" i="3"/>
  <c r="AY195" i="3"/>
  <c r="AY334" i="3"/>
  <c r="AY421" i="3"/>
  <c r="AY331" i="3"/>
  <c r="AY110" i="3"/>
  <c r="AY205" i="3"/>
  <c r="AY487" i="3"/>
  <c r="AY403" i="3"/>
  <c r="AY469" i="3"/>
  <c r="AY514" i="3"/>
  <c r="AY177" i="3"/>
  <c r="AY454" i="3"/>
  <c r="AY263" i="3"/>
  <c r="AY499" i="3"/>
  <c r="AY524" i="3"/>
  <c r="AY532" i="3"/>
  <c r="AY18" i="3"/>
  <c r="AY564" i="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365" i="3"/>
  <c r="AY227" i="3"/>
  <c r="AY337" i="3"/>
  <c r="AY558" i="3"/>
  <c r="BS6" i="3"/>
  <c r="AY111" i="3"/>
  <c r="AY25" i="3"/>
  <c r="AY120" i="3"/>
  <c r="AY254" i="3"/>
  <c r="AY224" i="3"/>
  <c r="AY341" i="3"/>
  <c r="AY424" i="3"/>
  <c r="AY453" i="3"/>
  <c r="AY446" i="3"/>
  <c r="AY166" i="3"/>
  <c r="AY162" i="3"/>
  <c r="AY225" i="3"/>
  <c r="AY380" i="3"/>
  <c r="AY413" i="3"/>
  <c r="AY22" i="3"/>
  <c r="AY184" i="3"/>
  <c r="AY282" i="3"/>
  <c r="AY229" i="3"/>
  <c r="AY321" i="3"/>
  <c r="AY14" i="3"/>
  <c r="AY437" i="3"/>
  <c r="AY430" i="3"/>
  <c r="AY465" i="3"/>
  <c r="AY378" i="3"/>
  <c r="AY544" i="3"/>
  <c r="AY221" i="3"/>
  <c r="AY323" i="3"/>
  <c r="AY303" i="3"/>
  <c r="AY193" i="3"/>
  <c r="AY493" i="3"/>
  <c r="AY245" i="3"/>
  <c r="AY370" i="3"/>
  <c r="AY127" i="3"/>
  <c r="AY531" i="3"/>
  <c r="AY32" i="3"/>
  <c r="AY388" i="3"/>
  <c r="AY498" i="3"/>
  <c r="AY137" i="3"/>
  <c r="AY456" i="3"/>
  <c r="AY485" i="3"/>
  <c r="AY518" i="3"/>
  <c r="AY565" i="3"/>
  <c r="AY112" i="3"/>
  <c r="AY140" i="3"/>
  <c r="AY458" i="3"/>
  <c r="AY527" i="3"/>
  <c r="BP6" i="3"/>
  <c r="AY247" i="3"/>
  <c r="AY399" i="3"/>
  <c r="AY519" i="3"/>
  <c r="AY546" i="3"/>
  <c r="AY20" i="3"/>
  <c r="AY199" i="3"/>
  <c r="AY208" i="3"/>
  <c r="AY480" i="3"/>
  <c r="AY417" i="3"/>
  <c r="AY186" i="3"/>
  <c r="AY287" i="3"/>
  <c r="AY299" i="3"/>
  <c r="AY90"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362" i="3"/>
  <c r="AY270" i="3"/>
  <c r="BI6" i="3"/>
  <c r="AY298" i="3"/>
  <c r="AY164" i="3"/>
  <c r="AY252" i="3"/>
  <c r="AY571" i="3"/>
  <c r="BM6" i="3"/>
  <c r="AY509" i="3"/>
  <c r="AY260" i="3"/>
  <c r="AY554" i="3"/>
  <c r="AY423" i="3"/>
  <c r="AY539" i="3"/>
  <c r="AY228" i="3"/>
  <c r="AY391" i="3"/>
  <c r="AY231" i="3"/>
  <c r="AY507" i="3"/>
  <c r="AY300" i="3"/>
  <c r="C38" i="15"/>
  <c r="C32" i="15"/>
  <c r="J26" i="44"/>
  <c r="J20" i="44"/>
  <c r="J28" i="44"/>
  <c r="J31" i="44" s="1"/>
  <c r="T9" i="1"/>
  <c r="T13" i="1"/>
  <c r="T6" i="1"/>
  <c r="O14" i="1"/>
  <c r="O16" i="1" s="1"/>
  <c r="M16" i="1"/>
  <c r="J7" i="37"/>
  <c r="F41" i="69"/>
  <c r="F41" i="71"/>
  <c r="C14" i="15"/>
  <c r="F41" i="70"/>
  <c r="C14" i="71"/>
  <c r="C14" i="69"/>
  <c r="C23" i="74" l="1"/>
  <c r="F68" i="70"/>
  <c r="J29" i="70"/>
  <c r="F68" i="71"/>
  <c r="J29" i="71"/>
  <c r="F68" i="69"/>
  <c r="J29" i="69"/>
  <c r="C58" i="74"/>
  <c r="C60" i="71"/>
  <c r="C31" i="74"/>
  <c r="C29" i="74"/>
  <c r="T12" i="1"/>
  <c r="T8" i="1"/>
  <c r="T10" i="1"/>
  <c r="T11" i="1"/>
  <c r="C65" i="71"/>
  <c r="I65" i="40"/>
  <c r="H67" i="40"/>
  <c r="C15" i="71"/>
  <c r="C18" i="71"/>
  <c r="C18" i="69"/>
  <c r="C15" i="69"/>
  <c r="P14" i="1"/>
  <c r="P16" i="1" s="1"/>
  <c r="C13" i="12" s="1"/>
  <c r="C17" i="12" s="1"/>
  <c r="I70" i="39"/>
  <c r="H72" i="39"/>
  <c r="C15" i="15"/>
  <c r="C18" i="15"/>
  <c r="B3" i="11"/>
  <c r="B5" i="11"/>
  <c r="B4" i="11"/>
  <c r="L16" i="1"/>
  <c r="C13" i="43"/>
  <c r="N16" i="1"/>
  <c r="C29" i="43" s="1"/>
  <c r="AC7" i="37"/>
  <c r="V42" i="37" s="1"/>
  <c r="I42" i="37" s="1"/>
  <c r="G47" i="37" s="1"/>
  <c r="H47" i="37" s="1"/>
  <c r="W7" i="37"/>
  <c r="Q58" i="44"/>
  <c r="Q67" i="44"/>
  <c r="Q49" i="44"/>
  <c r="Q55" i="44" s="1"/>
  <c r="D24" i="6"/>
  <c r="D22" i="6"/>
  <c r="D12" i="6"/>
  <c r="H25" i="6"/>
  <c r="D29" i="6"/>
  <c r="F45" i="9"/>
  <c r="F46" i="9"/>
  <c r="E68" i="39"/>
  <c r="C22" i="4"/>
  <c r="D19" i="6"/>
  <c r="D21" i="6"/>
  <c r="D25" i="6"/>
  <c r="D10" i="6"/>
  <c r="D13" i="6"/>
  <c r="H21" i="6"/>
  <c r="H24" i="6"/>
  <c r="D6" i="6"/>
  <c r="D23" i="6"/>
  <c r="D14" i="6"/>
  <c r="D28" i="6"/>
  <c r="D20" i="6"/>
  <c r="D8" i="6"/>
  <c r="H23" i="6"/>
  <c r="E63" i="40"/>
  <c r="H19" i="6"/>
  <c r="K38" i="9"/>
  <c r="C14" i="66" s="1"/>
  <c r="D26" i="6"/>
  <c r="D11" i="6"/>
  <c r="H20" i="6"/>
  <c r="D9" i="6"/>
  <c r="D5" i="6"/>
  <c r="H22" i="6"/>
  <c r="D15" i="6"/>
  <c r="H26" i="6"/>
  <c r="E45" i="9"/>
  <c r="E46" i="9"/>
  <c r="G46" i="37"/>
  <c r="H46" i="37" s="1"/>
  <c r="AB7" i="33"/>
  <c r="T48" i="33" s="1"/>
  <c r="G48" i="33" s="1"/>
  <c r="U7" i="33"/>
  <c r="D22" i="12"/>
  <c r="C22" i="12" s="1"/>
  <c r="C20" i="12" s="1"/>
  <c r="D13" i="11"/>
  <c r="C13" i="11" s="1"/>
  <c r="E42" i="37"/>
  <c r="R43" i="37"/>
  <c r="I52" i="33"/>
  <c r="J52" i="33" s="1"/>
  <c r="E38" i="46"/>
  <c r="G38" i="46"/>
  <c r="I38" i="46" s="1"/>
  <c r="G39" i="46"/>
  <c r="I39" i="46" s="1"/>
  <c r="E39" i="46"/>
  <c r="E33" i="46"/>
  <c r="G33" i="46"/>
  <c r="I33" i="46" s="1"/>
  <c r="E36" i="46"/>
  <c r="G36" i="46"/>
  <c r="I36" i="46" s="1"/>
  <c r="Q68" i="44"/>
  <c r="Q59" i="44"/>
  <c r="S19" i="6"/>
  <c r="S27" i="6" s="1"/>
  <c r="I27" i="6"/>
  <c r="C7" i="66"/>
  <c r="C8" i="66"/>
  <c r="D19" i="12"/>
  <c r="C19" i="12" s="1"/>
  <c r="C16" i="12"/>
  <c r="AA7" i="33"/>
  <c r="R48" i="33" s="1"/>
  <c r="S7" i="33"/>
  <c r="C30" i="46"/>
  <c r="E30" i="46" s="1"/>
  <c r="E29" i="46"/>
  <c r="G37" i="46"/>
  <c r="I37" i="46" s="1"/>
  <c r="E37" i="46"/>
  <c r="G35" i="46"/>
  <c r="I35" i="46" s="1"/>
  <c r="E35" i="46"/>
  <c r="E34" i="46"/>
  <c r="G34" i="46"/>
  <c r="I34" i="46" s="1"/>
  <c r="C16" i="44"/>
  <c r="C14" i="70"/>
  <c r="C14" i="72"/>
  <c r="F7" i="67"/>
  <c r="E37" i="9" l="1"/>
  <c r="E39" i="9" s="1"/>
  <c r="G35" i="9" s="1"/>
  <c r="C43" i="9" s="1"/>
  <c r="K47" i="9" s="1"/>
  <c r="A14" i="55" s="1"/>
  <c r="B65" i="63" s="1"/>
  <c r="C56" i="74"/>
  <c r="C63" i="74" s="1"/>
  <c r="Q50" i="74"/>
  <c r="C36" i="74"/>
  <c r="J19" i="74"/>
  <c r="J17" i="74" s="1"/>
  <c r="J14" i="74"/>
  <c r="C13" i="74"/>
  <c r="J59" i="74"/>
  <c r="J60" i="74" s="1"/>
  <c r="Q49" i="74" s="1"/>
  <c r="C27" i="46"/>
  <c r="C18" i="72"/>
  <c r="C15" i="72"/>
  <c r="C17" i="44"/>
  <c r="C20" i="44"/>
  <c r="C15" i="70"/>
  <c r="C18" i="70"/>
  <c r="T16" i="1"/>
  <c r="D30" i="6"/>
  <c r="J65" i="40"/>
  <c r="I67" i="40"/>
  <c r="C19" i="71"/>
  <c r="C20" i="71" s="1"/>
  <c r="C23" i="71" s="1"/>
  <c r="C19" i="69"/>
  <c r="C20" i="69" s="1"/>
  <c r="C26" i="69" s="1"/>
  <c r="H27" i="6"/>
  <c r="D16" i="6"/>
  <c r="C14" i="12"/>
  <c r="C18" i="12" s="1"/>
  <c r="C23" i="12" s="1"/>
  <c r="R25" i="6"/>
  <c r="C19" i="15"/>
  <c r="C20" i="15" s="1"/>
  <c r="C23" i="15" s="1"/>
  <c r="I72" i="39"/>
  <c r="J70" i="39"/>
  <c r="E4" i="67"/>
  <c r="R49" i="33"/>
  <c r="E48" i="33"/>
  <c r="E46" i="37"/>
  <c r="F46" i="37" s="1"/>
  <c r="E47" i="37"/>
  <c r="F47" i="37" s="1"/>
  <c r="R26" i="6"/>
  <c r="R20" i="6"/>
  <c r="R7" i="1" s="1"/>
  <c r="R21" i="6"/>
  <c r="R8" i="1" s="1"/>
  <c r="A6" i="64"/>
  <c r="A6" i="51"/>
  <c r="B7" i="63" s="1"/>
  <c r="A20" i="64"/>
  <c r="A20" i="51"/>
  <c r="B15" i="63" s="1"/>
  <c r="N5" i="54"/>
  <c r="B43" i="63" s="1"/>
  <c r="R22" i="6"/>
  <c r="R9" i="1" s="1"/>
  <c r="Q77" i="44"/>
  <c r="C26" i="46"/>
  <c r="C42" i="37"/>
  <c r="C43" i="37"/>
  <c r="B3" i="37" s="1"/>
  <c r="B2" i="37" s="1"/>
  <c r="G52" i="33"/>
  <c r="H52" i="33" s="1"/>
  <c r="G53" i="33"/>
  <c r="H53" i="33" s="1"/>
  <c r="B2" i="66"/>
  <c r="R23" i="6"/>
  <c r="R10" i="1" s="1"/>
  <c r="R19" i="6"/>
  <c r="D27" i="6"/>
  <c r="D31" i="6" s="1"/>
  <c r="R24" i="6"/>
  <c r="R11" i="1" s="1"/>
  <c r="Q64" i="44"/>
  <c r="I47" i="37"/>
  <c r="J47" i="37" s="1"/>
  <c r="I46" i="37"/>
  <c r="J46" i="37" s="1"/>
  <c r="C17" i="43"/>
  <c r="C14" i="43"/>
  <c r="F35" i="69"/>
  <c r="M21" i="72"/>
  <c r="M21" i="70"/>
  <c r="F35" i="71"/>
  <c r="M21" i="69"/>
  <c r="E7" i="67"/>
  <c r="F35" i="72"/>
  <c r="F35" i="70"/>
  <c r="M21" i="71"/>
  <c r="J22" i="74" l="1"/>
  <c r="J13" i="74"/>
  <c r="J23" i="74" s="1"/>
  <c r="Q71" i="74"/>
  <c r="C55" i="74"/>
  <c r="C64" i="74" s="1"/>
  <c r="C57" i="74" s="1"/>
  <c r="C66" i="74" s="1"/>
  <c r="C67" i="74" s="1"/>
  <c r="C37" i="74"/>
  <c r="C30" i="74" s="1"/>
  <c r="C39" i="74" s="1"/>
  <c r="J35" i="74"/>
  <c r="C19" i="70"/>
  <c r="C20" i="70" s="1"/>
  <c r="C23" i="70" s="1"/>
  <c r="C19" i="72"/>
  <c r="C20" i="72" s="1"/>
  <c r="C26" i="72" s="1"/>
  <c r="C21" i="44"/>
  <c r="C22" i="44" s="1"/>
  <c r="C25" i="44" s="1"/>
  <c r="J20" i="71"/>
  <c r="C34" i="71"/>
  <c r="C31" i="71" s="1"/>
  <c r="F62" i="71"/>
  <c r="C61" i="71" s="1"/>
  <c r="C58" i="71" s="1"/>
  <c r="C34" i="70"/>
  <c r="C31" i="70" s="1"/>
  <c r="F62" i="70"/>
  <c r="C61" i="70" s="1"/>
  <c r="C58" i="70" s="1"/>
  <c r="J20" i="70"/>
  <c r="F62" i="72"/>
  <c r="C61" i="72" s="1"/>
  <c r="C58" i="72" s="1"/>
  <c r="C34" i="72"/>
  <c r="C31" i="72" s="1"/>
  <c r="J20" i="72"/>
  <c r="F62" i="69"/>
  <c r="C61" i="69" s="1"/>
  <c r="C58" i="69" s="1"/>
  <c r="C34" i="69"/>
  <c r="C31" i="69" s="1"/>
  <c r="J20" i="69"/>
  <c r="K65" i="40"/>
  <c r="J67" i="40"/>
  <c r="C23" i="69"/>
  <c r="C29" i="69" s="1"/>
  <c r="C26" i="70"/>
  <c r="C29" i="70" s="1"/>
  <c r="C26" i="71"/>
  <c r="C29" i="71" s="1"/>
  <c r="R27" i="6"/>
  <c r="R6" i="1"/>
  <c r="C26" i="15"/>
  <c r="C29" i="15" s="1"/>
  <c r="J72" i="39"/>
  <c r="K70" i="39"/>
  <c r="C18" i="43"/>
  <c r="E3" i="67"/>
  <c r="E52" i="33"/>
  <c r="F52" i="33" s="1"/>
  <c r="E53" i="33"/>
  <c r="F53" i="33" s="1"/>
  <c r="I53" i="33"/>
  <c r="J53" i="33" s="1"/>
  <c r="B2" i="46"/>
  <c r="I6" i="6"/>
  <c r="C13" i="39" s="1"/>
  <c r="I5" i="6"/>
  <c r="D7" i="66"/>
  <c r="D8" i="66"/>
  <c r="C49" i="33"/>
  <c r="B3" i="33" s="1"/>
  <c r="B2" i="33" s="1"/>
  <c r="C48" i="33"/>
  <c r="M21" i="15"/>
  <c r="B7" i="67"/>
  <c r="F35" i="15"/>
  <c r="C23" i="72" l="1"/>
  <c r="C29" i="72" s="1"/>
  <c r="C36" i="72" s="1"/>
  <c r="J39" i="74"/>
  <c r="J40" i="74" s="1"/>
  <c r="J16" i="74"/>
  <c r="J25" i="74" s="1"/>
  <c r="C70" i="74"/>
  <c r="Q70" i="74"/>
  <c r="Q69" i="74" s="1"/>
  <c r="C40" i="74"/>
  <c r="C28" i="44"/>
  <c r="C31" i="44" s="1"/>
  <c r="Q51" i="44" s="1"/>
  <c r="F62" i="15"/>
  <c r="C61" i="15" s="1"/>
  <c r="C34" i="15"/>
  <c r="J20" i="15"/>
  <c r="R16" i="1"/>
  <c r="F13" i="39"/>
  <c r="J13" i="39"/>
  <c r="H13" i="39"/>
  <c r="L65" i="40"/>
  <c r="K67" i="40"/>
  <c r="C56" i="69"/>
  <c r="C63" i="69" s="1"/>
  <c r="Q50" i="69"/>
  <c r="J19" i="69"/>
  <c r="J17" i="69" s="1"/>
  <c r="C36" i="69"/>
  <c r="C13" i="69"/>
  <c r="J14" i="69"/>
  <c r="J59" i="69"/>
  <c r="J60" i="69" s="1"/>
  <c r="Q49" i="69" s="1"/>
  <c r="C56" i="70"/>
  <c r="C63" i="70" s="1"/>
  <c r="C13" i="70"/>
  <c r="J19" i="70"/>
  <c r="J17" i="70" s="1"/>
  <c r="J59" i="70"/>
  <c r="J60" i="70" s="1"/>
  <c r="Q49" i="70" s="1"/>
  <c r="C36" i="70"/>
  <c r="Q50" i="70"/>
  <c r="J14" i="70"/>
  <c r="C56" i="72"/>
  <c r="C63" i="72" s="1"/>
  <c r="Q50" i="71"/>
  <c r="C36" i="71"/>
  <c r="J14" i="71"/>
  <c r="C13" i="71"/>
  <c r="J59" i="71"/>
  <c r="J60" i="71" s="1"/>
  <c r="Q49" i="71" s="1"/>
  <c r="C56" i="71"/>
  <c r="C63" i="71" s="1"/>
  <c r="J19" i="71"/>
  <c r="J17" i="71" s="1"/>
  <c r="C19" i="43"/>
  <c r="C22" i="43" s="1"/>
  <c r="C21" i="43" s="1"/>
  <c r="J14" i="15"/>
  <c r="J22" i="15" s="1"/>
  <c r="C56" i="15"/>
  <c r="C60" i="15" s="1"/>
  <c r="C36" i="15"/>
  <c r="J19" i="15"/>
  <c r="C33" i="15"/>
  <c r="L70" i="39"/>
  <c r="K72" i="39"/>
  <c r="J59" i="15"/>
  <c r="J60" i="15" s="1"/>
  <c r="Q49" i="15" s="1"/>
  <c r="C13" i="15"/>
  <c r="Q71" i="15" s="1"/>
  <c r="Q50" i="15"/>
  <c r="B2" i="67"/>
  <c r="B3" i="46"/>
  <c r="D4" i="46"/>
  <c r="B4" i="46"/>
  <c r="L51" i="74"/>
  <c r="J17" i="15" l="1"/>
  <c r="C58" i="15"/>
  <c r="Q50" i="72"/>
  <c r="C38" i="44"/>
  <c r="J59" i="72"/>
  <c r="J60" i="72" s="1"/>
  <c r="Q49" i="72" s="1"/>
  <c r="J14" i="72"/>
  <c r="J13" i="72" s="1"/>
  <c r="J23" i="72" s="1"/>
  <c r="J19" i="72"/>
  <c r="J17" i="72" s="1"/>
  <c r="C13" i="72"/>
  <c r="J35" i="72" s="1"/>
  <c r="Q68" i="74"/>
  <c r="Q66" i="74"/>
  <c r="Q76" i="74" s="1"/>
  <c r="Q57" i="74"/>
  <c r="Q63" i="74" s="1"/>
  <c r="Q48" i="74"/>
  <c r="Q54" i="74" s="1"/>
  <c r="C43" i="74"/>
  <c r="B2" i="74"/>
  <c r="J42" i="74"/>
  <c r="J43" i="74" s="1"/>
  <c r="C46" i="74"/>
  <c r="C35" i="44"/>
  <c r="C33" i="44" s="1"/>
  <c r="C31" i="15"/>
  <c r="J21" i="44"/>
  <c r="J19" i="44" s="1"/>
  <c r="J16" i="44"/>
  <c r="J24" i="44" s="1"/>
  <c r="C15" i="44"/>
  <c r="Q72" i="44" s="1"/>
  <c r="M65" i="40"/>
  <c r="L67" i="40"/>
  <c r="W13" i="39"/>
  <c r="AC13" i="39"/>
  <c r="U13" i="39"/>
  <c r="AB13" i="39"/>
  <c r="AA13" i="39"/>
  <c r="S13" i="39"/>
  <c r="Q71" i="71"/>
  <c r="J35" i="71"/>
  <c r="C37" i="71"/>
  <c r="C30" i="71" s="1"/>
  <c r="C39" i="71" s="1"/>
  <c r="C55" i="71"/>
  <c r="C64" i="71" s="1"/>
  <c r="C57" i="71" s="1"/>
  <c r="C66" i="71" s="1"/>
  <c r="C67" i="71" s="1"/>
  <c r="J22" i="71"/>
  <c r="J13" i="71"/>
  <c r="J23" i="71" s="1"/>
  <c r="Q71" i="72"/>
  <c r="J22" i="70"/>
  <c r="J13" i="70"/>
  <c r="J23" i="70" s="1"/>
  <c r="J13" i="69"/>
  <c r="J23" i="69" s="1"/>
  <c r="J22" i="69"/>
  <c r="Q71" i="70"/>
  <c r="J35" i="70"/>
  <c r="C55" i="70"/>
  <c r="C64" i="70" s="1"/>
  <c r="C57" i="70" s="1"/>
  <c r="C66" i="70" s="1"/>
  <c r="C67" i="70" s="1"/>
  <c r="C37" i="70"/>
  <c r="C30" i="70" s="1"/>
  <c r="C39" i="70" s="1"/>
  <c r="C37" i="69"/>
  <c r="C30" i="69" s="1"/>
  <c r="C39" i="69" s="1"/>
  <c r="Q71" i="69"/>
  <c r="J35" i="69"/>
  <c r="C55" i="69"/>
  <c r="C64" i="69" s="1"/>
  <c r="C57" i="69" s="1"/>
  <c r="C66" i="69" s="1"/>
  <c r="C67" i="69" s="1"/>
  <c r="C70" i="69" s="1"/>
  <c r="J13" i="15"/>
  <c r="J23" i="15" s="1"/>
  <c r="C63" i="15"/>
  <c r="J35" i="15"/>
  <c r="C55" i="15"/>
  <c r="C64" i="15" s="1"/>
  <c r="C25" i="43"/>
  <c r="C24" i="43" s="1"/>
  <c r="C28" i="43" s="1"/>
  <c r="C30" i="43" s="1"/>
  <c r="C32" i="43" s="1"/>
  <c r="B2" i="43" s="1"/>
  <c r="B3" i="43" s="1"/>
  <c r="L72" i="39"/>
  <c r="M70" i="39"/>
  <c r="C37" i="15"/>
  <c r="B4" i="67"/>
  <c r="B3" i="67"/>
  <c r="L51" i="70"/>
  <c r="L51" i="71"/>
  <c r="L51" i="69"/>
  <c r="J22" i="72" l="1"/>
  <c r="J16" i="15"/>
  <c r="J25" i="15" s="1"/>
  <c r="C30" i="15"/>
  <c r="C39" i="15" s="1"/>
  <c r="Q70" i="15" s="1"/>
  <c r="Q69" i="15" s="1"/>
  <c r="J15" i="44"/>
  <c r="J25" i="44" s="1"/>
  <c r="C37" i="72"/>
  <c r="C30" i="72" s="1"/>
  <c r="C39" i="72" s="1"/>
  <c r="C55" i="72"/>
  <c r="C64" i="72" s="1"/>
  <c r="C57" i="72" s="1"/>
  <c r="C66" i="72" s="1"/>
  <c r="C67" i="72" s="1"/>
  <c r="C70" i="72" s="1"/>
  <c r="B3" i="74"/>
  <c r="H8" i="12" s="1"/>
  <c r="H10" i="12"/>
  <c r="C39" i="44"/>
  <c r="C32" i="44" s="1"/>
  <c r="C42" i="44" s="1"/>
  <c r="Q71" i="44" s="1"/>
  <c r="Q70" i="44" s="1"/>
  <c r="J18" i="44"/>
  <c r="J27" i="44" s="1"/>
  <c r="C43" i="44"/>
  <c r="M67" i="40"/>
  <c r="N65" i="40"/>
  <c r="N67" i="40" s="1"/>
  <c r="J16" i="70"/>
  <c r="J25" i="70" s="1"/>
  <c r="J16" i="72"/>
  <c r="J25" i="72" s="1"/>
  <c r="J16" i="71"/>
  <c r="J25" i="71" s="1"/>
  <c r="Q68" i="69"/>
  <c r="Q68" i="70"/>
  <c r="Q68" i="71"/>
  <c r="Q70" i="69"/>
  <c r="Q69" i="69" s="1"/>
  <c r="C40" i="69"/>
  <c r="J39" i="69"/>
  <c r="J40" i="69" s="1"/>
  <c r="Q70" i="70"/>
  <c r="Q69" i="70" s="1"/>
  <c r="C40" i="70"/>
  <c r="C46" i="70" s="1"/>
  <c r="J39" i="70"/>
  <c r="J40" i="70" s="1"/>
  <c r="J16" i="69"/>
  <c r="J25" i="69" s="1"/>
  <c r="C70" i="71"/>
  <c r="J39" i="71"/>
  <c r="J40" i="71" s="1"/>
  <c r="C70" i="70"/>
  <c r="J39" i="72"/>
  <c r="J40" i="72" s="1"/>
  <c r="C40" i="72"/>
  <c r="C40" i="71"/>
  <c r="C46" i="71" s="1"/>
  <c r="Q70" i="71"/>
  <c r="Q69" i="71" s="1"/>
  <c r="C57" i="15"/>
  <c r="C66" i="15" s="1"/>
  <c r="C67" i="15" s="1"/>
  <c r="C70" i="15" s="1"/>
  <c r="C44" i="44"/>
  <c r="C45" i="44" s="1"/>
  <c r="B2" i="44" s="1"/>
  <c r="B5" i="44" s="1"/>
  <c r="C40" i="15"/>
  <c r="Q66" i="15" s="1"/>
  <c r="B5" i="43"/>
  <c r="B4" i="43"/>
  <c r="N70" i="39"/>
  <c r="N72" i="39" s="1"/>
  <c r="H9" i="39" s="1"/>
  <c r="M72" i="39"/>
  <c r="J9" i="39" s="1"/>
  <c r="F9" i="39"/>
  <c r="L57" i="15"/>
  <c r="L60" i="15" s="1"/>
  <c r="L46" i="15" s="1"/>
  <c r="L51" i="72"/>
  <c r="L51" i="15"/>
  <c r="Q68" i="72" l="1"/>
  <c r="J39" i="15"/>
  <c r="J40" i="15" s="1"/>
  <c r="Q70" i="72"/>
  <c r="Q69" i="72" s="1"/>
  <c r="Q68" i="15"/>
  <c r="F9" i="40"/>
  <c r="H9" i="40"/>
  <c r="J9" i="40"/>
  <c r="Q57" i="71"/>
  <c r="Q63" i="71" s="1"/>
  <c r="C43" i="71"/>
  <c r="Q66" i="71"/>
  <c r="Q76" i="71" s="1"/>
  <c r="Q48" i="71"/>
  <c r="Q54" i="71" s="1"/>
  <c r="B2" i="71"/>
  <c r="J42" i="71"/>
  <c r="J43" i="71" s="1"/>
  <c r="C46" i="69"/>
  <c r="C43" i="69"/>
  <c r="Q57" i="69"/>
  <c r="Q63" i="69" s="1"/>
  <c r="B2" i="69"/>
  <c r="Q66" i="69"/>
  <c r="Q76" i="69" s="1"/>
  <c r="J42" i="69"/>
  <c r="J43" i="69" s="1"/>
  <c r="Q48" i="69"/>
  <c r="Q54" i="69" s="1"/>
  <c r="C46" i="72"/>
  <c r="J42" i="72"/>
  <c r="J43" i="72" s="1"/>
  <c r="B2" i="72"/>
  <c r="Q66" i="72"/>
  <c r="Q76" i="72" s="1"/>
  <c r="C43" i="72"/>
  <c r="Q57" i="72"/>
  <c r="Q63" i="72" s="1"/>
  <c r="Q48" i="72"/>
  <c r="Q54" i="72" s="1"/>
  <c r="Q66" i="70"/>
  <c r="Q76" i="70" s="1"/>
  <c r="J42" i="70"/>
  <c r="J43" i="70" s="1"/>
  <c r="Q57" i="70"/>
  <c r="Q63" i="70" s="1"/>
  <c r="B2" i="70"/>
  <c r="C43" i="70"/>
  <c r="Q48" i="70"/>
  <c r="Q54" i="70" s="1"/>
  <c r="Q48" i="15"/>
  <c r="Q54" i="15" s="1"/>
  <c r="B4" i="44"/>
  <c r="B3" i="44"/>
  <c r="B2" i="15"/>
  <c r="C43" i="15"/>
  <c r="C46" i="15"/>
  <c r="J42" i="15"/>
  <c r="J43" i="15" s="1"/>
  <c r="Q57" i="15"/>
  <c r="S9" i="39"/>
  <c r="AA9" i="39"/>
  <c r="R49" i="39" s="1"/>
  <c r="W9" i="39"/>
  <c r="AC9" i="39"/>
  <c r="V49" i="39" s="1"/>
  <c r="I49" i="39" s="1"/>
  <c r="AB9" i="39"/>
  <c r="T49" i="39" s="1"/>
  <c r="G49" i="39" s="1"/>
  <c r="U9" i="39"/>
  <c r="Q58" i="15"/>
  <c r="Q67" i="15"/>
  <c r="Q76" i="15" s="1"/>
  <c r="Q63" i="15" l="1"/>
  <c r="AB9" i="40"/>
  <c r="T44" i="40" s="1"/>
  <c r="G44" i="40" s="1"/>
  <c r="U9" i="40"/>
  <c r="W9" i="40"/>
  <c r="AC9" i="40"/>
  <c r="V44" i="40" s="1"/>
  <c r="I44" i="40" s="1"/>
  <c r="AA9" i="40"/>
  <c r="R44" i="40" s="1"/>
  <c r="S9" i="40"/>
  <c r="E10" i="12"/>
  <c r="B3" i="70"/>
  <c r="E8" i="12" s="1"/>
  <c r="G10" i="12"/>
  <c r="B3" i="72"/>
  <c r="G8" i="12" s="1"/>
  <c r="D10" i="12"/>
  <c r="B3" i="69"/>
  <c r="D8" i="12" s="1"/>
  <c r="F10" i="12"/>
  <c r="B3" i="71"/>
  <c r="F8" i="12" s="1"/>
  <c r="B3" i="15"/>
  <c r="C8" i="12" s="1"/>
  <c r="C10" i="12"/>
  <c r="G53" i="39"/>
  <c r="H53" i="39" s="1"/>
  <c r="G54" i="39"/>
  <c r="H54" i="39" s="1"/>
  <c r="I53" i="39"/>
  <c r="J53" i="39" s="1"/>
  <c r="R50" i="39"/>
  <c r="E49" i="39"/>
  <c r="E44" i="40" l="1"/>
  <c r="R45" i="40"/>
  <c r="G48" i="40"/>
  <c r="H48" i="40" s="1"/>
  <c r="G49" i="40"/>
  <c r="H49" i="40" s="1"/>
  <c r="I48" i="40"/>
  <c r="J48" i="40" s="1"/>
  <c r="C6" i="12"/>
  <c r="C24" i="12" s="1"/>
  <c r="C50" i="39"/>
  <c r="C49" i="39"/>
  <c r="E54" i="39"/>
  <c r="F54" i="39" s="1"/>
  <c r="E53" i="39"/>
  <c r="F53" i="39" s="1"/>
  <c r="I54" i="39"/>
  <c r="J54" i="39" s="1"/>
  <c r="E49" i="40" l="1"/>
  <c r="F49" i="40" s="1"/>
  <c r="E48" i="40"/>
  <c r="F48" i="40" s="1"/>
  <c r="I49" i="40"/>
  <c r="J49" i="40" s="1"/>
  <c r="C44" i="40"/>
  <c r="C45" i="40"/>
  <c r="C29" i="12"/>
  <c r="C28" i="12"/>
  <c r="C26" i="12" s="1"/>
  <c r="C35" i="12"/>
  <c r="C33" i="12" s="1"/>
  <c r="B66" i="39"/>
  <c r="F66" i="39" s="1"/>
  <c r="B61" i="39"/>
  <c r="F61" i="39" s="1"/>
  <c r="B59" i="39"/>
  <c r="F59" i="39" s="1"/>
  <c r="B62" i="39"/>
  <c r="F62" i="39" s="1"/>
  <c r="B67" i="39"/>
  <c r="F67" i="39" s="1"/>
  <c r="B63" i="39"/>
  <c r="F63" i="39" s="1"/>
  <c r="B64" i="39"/>
  <c r="F64" i="39" s="1"/>
  <c r="B65" i="39"/>
  <c r="F65" i="39" s="1"/>
  <c r="B58" i="39"/>
  <c r="F58" i="39" s="1"/>
  <c r="B60" i="39"/>
  <c r="F60" i="39" s="1"/>
  <c r="B55" i="40" l="1"/>
  <c r="F55" i="40" s="1"/>
  <c r="B57" i="40"/>
  <c r="F57" i="40" s="1"/>
  <c r="B60" i="40"/>
  <c r="F60" i="40" s="1"/>
  <c r="B59" i="40"/>
  <c r="F59" i="40" s="1"/>
  <c r="B62" i="40"/>
  <c r="F62" i="40" s="1"/>
  <c r="F63" i="40"/>
  <c r="B2" i="40" s="1"/>
  <c r="B61" i="40"/>
  <c r="F61" i="40" s="1"/>
  <c r="B54" i="40"/>
  <c r="F54" i="40" s="1"/>
  <c r="B53" i="40"/>
  <c r="F53" i="40" s="1"/>
  <c r="B56" i="40"/>
  <c r="F56" i="40" s="1"/>
  <c r="B58" i="40"/>
  <c r="F58" i="40" s="1"/>
  <c r="C31" i="12"/>
  <c r="C30" i="12" s="1"/>
  <c r="C36" i="12" s="1"/>
  <c r="B2" i="12" s="1"/>
  <c r="B5" i="12" s="1"/>
  <c r="F68" i="39"/>
  <c r="B2" i="39" s="1"/>
  <c r="C19" i="9"/>
  <c r="D19" i="9"/>
  <c r="B4" i="40" l="1"/>
  <c r="B5" i="40"/>
  <c r="B3" i="40"/>
  <c r="L43" i="9"/>
  <c r="B5" i="39"/>
  <c r="B4" i="12"/>
  <c r="B3" i="12"/>
  <c r="D22" i="9"/>
  <c r="G19" i="9"/>
  <c r="D27" i="9" s="1"/>
  <c r="D30" i="9" s="1"/>
  <c r="C24" i="9" s="1"/>
  <c r="L44" i="9"/>
  <c r="B3" i="39"/>
  <c r="B4" i="39"/>
  <c r="C20" i="9"/>
  <c r="D20" i="9"/>
  <c r="D21" i="9"/>
  <c r="C21" i="9"/>
  <c r="G21" i="9" l="1"/>
  <c r="G20" i="9"/>
  <c r="N43" i="9"/>
  <c r="C32" i="9"/>
  <c r="G22" i="9"/>
  <c r="O38" i="9" l="1"/>
  <c r="C42" i="9"/>
  <c r="O43" i="9"/>
  <c r="C33" i="9"/>
  <c r="C34" i="9"/>
  <c r="C35" i="9"/>
  <c r="F42" i="9" s="1"/>
  <c r="E42" i="9" l="1"/>
  <c r="P5" i="54" s="1"/>
  <c r="B46" i="63" s="1"/>
  <c r="M38" i="9"/>
  <c r="K27" i="9" s="1"/>
  <c r="K26" i="9"/>
  <c r="K25" i="9"/>
  <c r="D42" i="9"/>
  <c r="Q5" i="54" s="1"/>
  <c r="B47" i="63" s="1"/>
  <c r="N38" i="9"/>
  <c r="K28" i="9" s="1"/>
  <c r="C44" i="9"/>
  <c r="N68" i="9"/>
  <c r="R5" i="54"/>
  <c r="B48" i="63" s="1"/>
  <c r="D63" i="9"/>
  <c r="D14" i="66"/>
  <c r="B5" i="66" l="1"/>
  <c r="E14" i="66"/>
  <c r="F14" i="66"/>
  <c r="N69" i="9"/>
  <c r="G14" i="66"/>
  <c r="B6" i="66" s="1"/>
  <c r="O39" i="9"/>
  <c r="D44" i="9"/>
  <c r="E44" i="9"/>
  <c r="F44" i="9"/>
  <c r="D71" i="9"/>
  <c r="D66" i="9" s="1"/>
  <c r="N72" i="9" s="1"/>
  <c r="C82" i="9"/>
  <c r="C81" i="9" s="1"/>
  <c r="C85" i="9" s="1"/>
  <c r="C86" i="9" s="1"/>
  <c r="D72" i="9" s="1"/>
  <c r="C103" i="9"/>
  <c r="C111" i="9"/>
  <c r="C104" i="9" s="1"/>
  <c r="D70" i="9"/>
  <c r="C96" i="9"/>
  <c r="C91" i="9" s="1"/>
  <c r="C90" i="9"/>
  <c r="D77" i="9"/>
  <c r="N75" i="9" s="1"/>
  <c r="C6" i="66" l="1"/>
  <c r="D6" i="66"/>
  <c r="C5" i="66"/>
  <c r="D5" i="66"/>
  <c r="C97" i="9"/>
  <c r="C113" i="9"/>
  <c r="R6" i="54"/>
  <c r="B50" i="63" s="1"/>
  <c r="K29" i="9"/>
  <c r="K30" i="9" s="1"/>
  <c r="M84" i="9"/>
  <c r="N84" i="9" s="1"/>
  <c r="M83" i="9"/>
  <c r="N83" i="9" s="1"/>
  <c r="M88" i="9"/>
  <c r="N88" i="9" s="1"/>
  <c r="M87" i="9"/>
  <c r="N87" i="9" s="1"/>
  <c r="M86" i="9"/>
  <c r="N86" i="9" s="1"/>
  <c r="M85" i="9"/>
  <c r="N85" i="9" s="1"/>
  <c r="N89" i="9" l="1"/>
  <c r="O89" i="9" s="1"/>
  <c r="C98" i="9"/>
  <c r="E98" i="9" s="1"/>
  <c r="E99" i="9" s="1"/>
  <c r="C114" i="9"/>
  <c r="E114" i="9" s="1"/>
  <c r="E115" i="9" s="1"/>
  <c r="C115" i="9" l="1"/>
  <c r="D76" i="9" s="1"/>
  <c r="D74" i="9" s="1"/>
  <c r="N74" i="9" s="1"/>
  <c r="O77" i="9" s="1"/>
  <c r="O78" i="9" s="1"/>
  <c r="C99" i="9"/>
  <c r="Q77"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<sst xmlns="http://schemas.openxmlformats.org/spreadsheetml/2006/main" count="10886" uniqueCount="3444">
  <si>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</si>
  <si>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</si>
  <si>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</si>
  <si>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</si>
  <si>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</si>
  <si>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</si>
  <si>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</si>
  <si>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</si>
  <si>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</si>
  <si>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</si>
  <si>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</si>
  <si>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</si>
  <si>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</si>
  <si>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</si>
  <si>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</si>
  <si>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</si>
  <si>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</si>
  <si>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</si>
  <si>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</si>
  <si>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</si>
  <si>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</si>
  <si>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</si>
  <si>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</si>
  <si>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</si>
  <si>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</si>
  <si>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</si>
  <si>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</si>
  <si>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</si>
  <si>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</si>
  <si>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</si>
  <si>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</si>
  <si>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</si>
  <si>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</si>
  <si>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</si>
  <si>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</si>
  <si>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</si>
  <si>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</si>
  <si>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</si>
  <si>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</si>
  <si>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</si>
  <si>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</si>
  <si>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</si>
  <si>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</si>
  <si>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</si>
  <si>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</si>
  <si>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</si>
  <si>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</si>
  <si>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</si>
  <si>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</si>
  <si>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</si>
  <si>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</si>
  <si>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</si>
  <si>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</si>
  <si>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</si>
  <si>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</si>
  <si>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</si>
  <si>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</si>
  <si>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</si>
  <si>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</si>
  <si>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</si>
  <si>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</si>
  <si>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</si>
  <si>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</si>
  <si>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</si>
  <si>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</si>
  <si>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</si>
  <si>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</si>
  <si>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</si>
  <si>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</si>
  <si>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</si>
  <si>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</si>
  <si>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</si>
  <si>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</si>
  <si>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</si>
  <si>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</si>
  <si>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</si>
  <si>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</si>
  <si>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</si>
  <si>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</si>
  <si>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</si>
  <si>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</si>
  <si>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</si>
  <si>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</si>
  <si>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</si>
  <si>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</si>
  <si>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</si>
  <si>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</si>
  <si>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</si>
  <si>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</si>
  <si>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</si>
  <si>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</si>
  <si>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</si>
  <si>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</si>
  <si>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</si>
  <si>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</si>
  <si>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</si>
  <si>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</si>
  <si>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</si>
  <si>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</si>
  <si>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</si>
  <si>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</si>
  <si>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</si>
  <si>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</si>
  <si>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</si>
  <si>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</si>
  <si>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</si>
  <si>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</si>
  <si>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</si>
  <si>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</si>
  <si>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</si>
  <si>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</si>
  <si>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</si>
  <si>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</si>
  <si>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</si>
  <si>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</si>
  <si>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</si>
  <si>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</si>
  <si>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</si>
  <si>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</si>
  <si>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</si>
  <si>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</si>
  <si>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</si>
  <si>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</si>
  <si>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</si>
  <si>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</si>
  <si>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</si>
  <si>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</si>
  <si>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</si>
  <si>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</si>
  <si>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</si>
  <si>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</si>
  <si>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</si>
  <si>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</si>
  <si>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</si>
  <si>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</si>
  <si>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</si>
  <si>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</si>
  <si>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</si>
  <si>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</si>
  <si>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</si>
  <si>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</si>
  <si>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</si>
  <si>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</si>
  <si>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</si>
  <si>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</si>
  <si>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</si>
  <si>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</si>
  <si>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</si>
  <si>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</si>
  <si>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</si>
  <si>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</si>
  <si>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</si>
  <si>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</si>
  <si>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</si>
  <si>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</si>
  <si>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</si>
  <si>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</si>
  <si>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</si>
  <si>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</si>
  <si>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</si>
  <si>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</si>
  <si>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</si>
  <si>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</si>
  <si>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</si>
  <si>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</si>
  <si>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</si>
  <si>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</si>
  <si>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</si>
  <si>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</si>
  <si>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</si>
  <si>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</si>
  <si>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</si>
  <si>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</si>
  <si>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</si>
  <si>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</si>
  <si>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</si>
  <si>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</si>
  <si>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</si>
  <si>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</si>
  <si>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</si>
  <si>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</si>
  <si>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</si>
  <si>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</si>
  <si>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</si>
  <si>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</si>
  <si>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</si>
  <si>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</si>
  <si>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</si>
  <si>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</si>
  <si>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</si>
  <si>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</si>
  <si>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</si>
  <si>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</si>
  <si>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</si>
  <si>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</si>
  <si>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</si>
  <si>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</si>
  <si>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</si>
  <si>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</si>
  <si>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</si>
  <si>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</si>
  <si>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</si>
  <si>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</si>
  <si>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</si>
  <si>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</si>
  <si>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</si>
  <si>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</si>
  <si>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</si>
  <si>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</si>
  <si>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</si>
  <si>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</si>
  <si>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</si>
  <si>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</si>
  <si>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</si>
  <si>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</si>
  <si>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</si>
  <si>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</si>
  <si>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</si>
  <si>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</si>
  <si>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</si>
  <si>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</si>
  <si>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</si>
  <si>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</si>
  <si>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</si>
  <si>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</si>
  <si>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</si>
  <si>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</si>
  <si>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</si>
  <si>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</si>
  <si>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</si>
  <si>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</si>
  <si>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</si>
  <si>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</si>
  <si>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</si>
  <si>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</si>
  <si>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</si>
  <si>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</si>
  <si>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</si>
  <si>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</si>
  <si>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</si>
  <si>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</si>
  <si>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</si>
  <si>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</si>
  <si>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</si>
  <si>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</si>
  <si>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</si>
  <si>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</si>
  <si>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</si>
  <si>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</si>
  <si>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</si>
  <si>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</si>
  <si>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</si>
  <si>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</si>
  <si>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</si>
  <si>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</si>
  <si>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</si>
  <si>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</si>
  <si>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</si>
  <si>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</si>
  <si>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</si>
  <si>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</si>
  <si>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</si>
  <si>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</si>
  <si>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</si>
  <si>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</si>
  <si>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</si>
  <si>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</si>
  <si>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</si>
  <si>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</si>
  <si>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</si>
  <si>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</si>
  <si>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</si>
  <si>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</si>
  <si>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</si>
  <si>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</si>
  <si>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</si>
  <si>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</si>
  <si>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</si>
  <si>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</si>
  <si>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</si>
  <si>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</si>
  <si>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</si>
  <si>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</si>
  <si>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</si>
  <si>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</si>
  <si>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</si>
  <si>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</si>
  <si>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</si>
  <si>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</si>
  <si>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</si>
  <si>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</si>
  <si>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</si>
  <si>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</si>
  <si>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</si>
  <si>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</si>
  <si>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</si>
  <si>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</si>
  <si>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</si>
  <si>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</si>
  <si>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</si>
  <si>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</si>
  <si>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</si>
  <si>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</si>
  <si>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</si>
  <si>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</si>
  <si>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</si>
  <si>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</si>
  <si>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</si>
  <si>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</si>
  <si>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</si>
  <si>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</si>
  <si>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</si>
  <si>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</si>
  <si>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</si>
  <si>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</si>
  <si>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</si>
  <si>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</si>
  <si>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</si>
  <si>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</si>
  <si>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</si>
  <si>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</si>
  <si>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</si>
  <si>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</si>
  <si>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</si>
  <si>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</si>
  <si>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</si>
  <si>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</si>
  <si>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</si>
  <si>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</si>
  <si>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</si>
  <si>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</si>
  <si>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</si>
  <si>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</si>
  <si>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</si>
  <si>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</si>
  <si>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</si>
  <si>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</si>
  <si>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</si>
  <si>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</si>
  <si>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</si>
  <si>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</si>
  <si>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</si>
  <si>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</si>
  <si>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</si>
  <si>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</si>
  <si>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</si>
  <si>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</si>
  <si>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</si>
  <si>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</si>
  <si>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</si>
  <si>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</si>
  <si>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</si>
  <si>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</si>
  <si>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</si>
  <si>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</si>
  <si>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</si>
  <si>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</si>
  <si>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</si>
  <si>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</si>
  <si>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</si>
  <si>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</si>
  <si>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</si>
  <si>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</si>
  <si>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</si>
  <si>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</si>
  <si>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</si>
  <si>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</si>
  <si>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</si>
  <si>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</si>
  <si>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</si>
  <si>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</si>
  <si>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</si>
  <si>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</si>
  <si>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</si>
  <si>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</si>
  <si>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</si>
  <si>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</si>
  <si>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</si>
  <si>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</si>
  <si>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</si>
  <si>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</si>
  <si>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</si>
  <si>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</si>
  <si>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</si>
  <si>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</si>
  <si>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</si>
  <si>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</si>
  <si>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</si>
  <si>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</si>
  <si>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</si>
  <si>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</si>
  <si>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</si>
  <si>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</si>
  <si>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</si>
  <si>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</si>
  <si>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</si>
  <si>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</si>
  <si>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</si>
  <si>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</si>
  <si>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</si>
  <si>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</si>
  <si>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</si>
  <si>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</si>
  <si>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</si>
  <si>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</si>
  <si>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</si>
  <si>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</si>
  <si>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</si>
  <si>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</si>
  <si>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</si>
  <si>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</si>
  <si>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</si>
  <si>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</si>
  <si>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</si>
  <si>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</si>
  <si>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</si>
  <si>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</si>
  <si>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</si>
  <si>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</si>
  <si>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</si>
  <si>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</si>
  <si>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</si>
  <si>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</si>
  <si>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</si>
  <si>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</si>
  <si>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</si>
  <si>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</si>
  <si>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</si>
  <si>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</si>
  <si>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</si>
  <si>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</si>
  <si>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</si>
  <si>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</si>
  <si>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</si>
  <si>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</si>
  <si>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</si>
  <si>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</si>
  <si>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</si>
  <si>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</si>
  <si>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</si>
  <si>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</si>
  <si>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</si>
  <si>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</si>
  <si>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</si>
  <si>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</si>
  <si>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</si>
  <si>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</si>
  <si>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</si>
  <si>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</si>
  <si>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</si>
  <si>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</si>
  <si>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</si>
  <si>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</si>
  <si>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</si>
  <si>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</si>
  <si>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</si>
  <si>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</si>
  <si>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</si>
  <si>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</si>
  <si>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</si>
  <si>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</si>
  <si>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</si>
  <si>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</si>
  <si>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</si>
  <si>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</si>
  <si>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</si>
  <si>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</si>
  <si>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</si>
  <si>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</si>
  <si>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</si>
  <si>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</si>
  <si>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</si>
  <si>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</si>
  <si>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</si>
  <si>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</si>
  <si>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</si>
  <si>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</si>
  <si>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</si>
  <si>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</si>
  <si>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</si>
  <si>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</si>
  <si>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</si>
  <si>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</si>
  <si>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</si>
  <si>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</si>
  <si>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</si>
  <si>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</si>
  <si>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</si>
  <si>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</si>
  <si>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</si>
  <si>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</si>
  <si>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</si>
  <si>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</si>
  <si>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</si>
  <si>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</si>
  <si>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</si>
  <si>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</si>
  <si>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</si>
  <si>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</si>
  <si>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</si>
  <si>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</si>
  <si>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</si>
  <si>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</si>
  <si>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</si>
  <si>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</si>
  <si>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</si>
  <si>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</si>
  <si>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</si>
  <si>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</si>
  <si>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</si>
  <si>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</si>
  <si>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</si>
  <si>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</si>
  <si>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</si>
  <si>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</si>
  <si>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</si>
  <si>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</si>
  <si>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</si>
  <si>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</si>
  <si>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</si>
  <si>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</si>
  <si>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</si>
  <si>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</si>
  <si>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</si>
  <si>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</si>
  <si>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</si>
  <si>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</si>
  <si>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</si>
  <si>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</si>
  <si>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</si>
  <si>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</si>
  <si>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</si>
  <si>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</si>
  <si>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</si>
  <si>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</si>
  <si>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</si>
  <si>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</si>
  <si>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</si>
  <si>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</si>
  <si>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</si>
  <si>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</si>
  <si>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</si>
  <si>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</si>
  <si>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</si>
  <si>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</si>
  <si>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</si>
  <si>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</si>
  <si>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</si>
  <si>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</si>
  <si>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</si>
  <si>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</si>
  <si>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</si>
  <si>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</si>
  <si>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</si>
  <si>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</si>
  <si>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</si>
  <si>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</si>
  <si>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</si>
  <si>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</si>
  <si>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</si>
  <si>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</si>
  <si>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</si>
  <si>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</si>
  <si>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</si>
  <si>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</si>
  <si>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</si>
  <si>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</si>
  <si>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</si>
  <si>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</si>
  <si>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</si>
  <si>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</si>
  <si>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</si>
  <si>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</si>
  <si>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</si>
  <si>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</si>
  <si>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</si>
  <si>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</si>
  <si>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</si>
  <si>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</si>
  <si>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</si>
  <si>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</si>
  <si>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</si>
  <si>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</si>
  <si>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</si>
  <si>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</si>
  <si>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</si>
  <si>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</si>
  <si>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</si>
  <si>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</si>
  <si>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</si>
  <si>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</si>
  <si>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</si>
  <si>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</si>
  <si>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</si>
  <si>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</si>
  <si>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</si>
  <si>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</si>
  <si>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</si>
  <si>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</si>
  <si>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</si>
  <si>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</si>
  <si>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</si>
  <si>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</si>
  <si>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</si>
  <si>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</si>
  <si>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</si>
  <si>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</si>
  <si>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</si>
  <si>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</si>
  <si>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</si>
  <si>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</si>
  <si>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</si>
  <si>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</si>
  <si>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</si>
  <si>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</si>
  <si>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</si>
  <si>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</si>
  <si>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</si>
  <si>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</si>
  <si>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</si>
  <si>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</si>
  <si>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</si>
  <si>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</si>
  <si>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</si>
  <si>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</si>
  <si>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</si>
  <si>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</si>
  <si>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</si>
  <si>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</si>
  <si>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</si>
  <si>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</si>
  <si>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</si>
  <si>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</si>
  <si>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</si>
  <si>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</si>
  <si>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</si>
  <si>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</si>
  <si>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</si>
  <si>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</si>
  <si>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</si>
  <si>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</si>
  <si>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</si>
  <si>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</si>
  <si>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</si>
  <si>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</si>
  <si>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</si>
  <si>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</si>
  <si>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</si>
  <si>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</si>
  <si>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</si>
  <si>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</si>
  <si>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</si>
  <si>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</si>
  <si>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</si>
  <si>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</si>
  <si>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</si>
  <si>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</si>
  <si>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</si>
  <si>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</si>
  <si>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</si>
  <si>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</si>
  <si>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</si>
  <si>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</si>
  <si>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</si>
  <si>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</si>
  <si>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</si>
  <si>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</si>
  <si>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</si>
  <si>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</si>
  <si>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</si>
  <si>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</si>
  <si>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</si>
  <si>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</si>
  <si>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</si>
  <si>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</si>
  <si>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</si>
  <si>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</si>
  <si>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</si>
  <si>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</si>
  <si>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</si>
  <si>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</si>
  <si>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</si>
  <si>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</si>
  <si>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</si>
  <si>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</si>
  <si>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</si>
  <si>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</si>
  <si>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</si>
  <si>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</si>
  <si>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</si>
  <si>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</si>
  <si>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</si>
  <si>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</si>
  <si>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</si>
  <si>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</si>
  <si>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</si>
  <si>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</si>
  <si>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</si>
  <si>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</si>
  <si>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</si>
  <si>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</si>
  <si>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</si>
  <si>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</si>
  <si>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</si>
  <si>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</si>
  <si>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</si>
  <si>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</si>
  <si>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</si>
  <si>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</si>
  <si>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</si>
  <si>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</si>
  <si>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</si>
  <si>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</si>
  <si>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</si>
  <si>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</si>
  <si>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</si>
  <si>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</si>
  <si>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</si>
  <si>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</si>
  <si>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</si>
  <si>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</si>
  <si>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</si>
  <si>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</si>
  <si>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</si>
  <si>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</si>
  <si>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</si>
  <si>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</si>
  <si>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</si>
  <si>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</si>
  <si>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</si>
  <si>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</si>
  <si>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</si>
  <si>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</si>
  <si>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</si>
  <si>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</si>
  <si>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</si>
  <si>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</si>
  <si>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</si>
  <si>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</si>
  <si>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</si>
  <si>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</si>
  <si>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</si>
  <si>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</si>
  <si>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</si>
  <si>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</si>
  <si>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</si>
  <si>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</si>
  <si>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</si>
  <si>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</si>
  <si>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</si>
  <si>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</si>
  <si>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</si>
  <si>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</si>
  <si>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</si>
  <si>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</si>
  <si>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</si>
  <si>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</si>
  <si>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</si>
  <si>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</si>
  <si>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</si>
  <si>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</si>
  <si>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</si>
  <si>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</si>
  <si>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</si>
  <si>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</si>
  <si>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</si>
  <si>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</si>
  <si>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</si>
  <si>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</si>
  <si>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</si>
  <si>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</si>
  <si>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</si>
  <si>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</si>
  <si>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</si>
  <si>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</si>
  <si>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</si>
  <si>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</si>
  <si>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</si>
  <si>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</si>
  <si>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</si>
  <si>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</si>
  <si>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</si>
  <si>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</si>
  <si>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</si>
  <si>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</si>
  <si>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</si>
  <si>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</si>
  <si>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</si>
  <si>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</si>
  <si>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</si>
  <si>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</si>
  <si>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</si>
  <si>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</si>
  <si>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</si>
  <si>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</si>
  <si>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</si>
  <si>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</si>
  <si>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</si>
  <si>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</si>
  <si>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</si>
  <si>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</si>
  <si>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</si>
  <si>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</si>
  <si>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</si>
  <si>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</si>
  <si>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</si>
  <si>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</si>
  <si>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</si>
  <si>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</si>
  <si>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</si>
  <si>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</si>
  <si>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</si>
  <si>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</si>
  <si>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</si>
  <si>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</si>
  <si>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</si>
  <si>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</si>
  <si>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</si>
  <si>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</si>
  <si>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</si>
  <si>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</si>
  <si>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</si>
  <si>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</si>
  <si>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</si>
  <si>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</si>
  <si>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</si>
  <si>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</si>
  <si>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</si>
  <si>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</si>
  <si>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</si>
  <si>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</si>
  <si>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</si>
  <si>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</si>
  <si>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</si>
  <si>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</si>
  <si>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</si>
  <si>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</si>
  <si>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</si>
  <si>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</si>
  <si>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</si>
  <si>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</si>
  <si>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</si>
  <si>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</si>
  <si>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</si>
  <si>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</si>
  <si>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</si>
  <si>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</si>
  <si>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</si>
  <si>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</si>
  <si>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</si>
  <si>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</si>
  <si>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</si>
  <si>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</si>
  <si>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</si>
  <si>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</si>
  <si>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</si>
  <si>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</si>
  <si>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</si>
  <si>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</si>
  <si>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</si>
  <si>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</si>
  <si>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</si>
  <si>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</si>
  <si>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</si>
  <si>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</si>
  <si>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</si>
  <si>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</si>
  <si>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</si>
  <si>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</si>
  <si>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</si>
  <si>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</si>
  <si>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</si>
  <si>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</si>
  <si>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</si>
  <si>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</si>
  <si>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</si>
  <si>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</si>
  <si>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</si>
  <si>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</si>
  <si>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</si>
  <si>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</si>
  <si>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</si>
  <si>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</si>
  <si>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</si>
  <si>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</si>
  <si>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</si>
  <si>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</si>
  <si>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</si>
  <si>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</si>
  <si>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</si>
  <si>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</si>
  <si>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</si>
  <si>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</si>
  <si>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</si>
  <si>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</si>
  <si>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</si>
  <si>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</si>
  <si>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</si>
  <si>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</si>
  <si>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</si>
  <si>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</si>
  <si>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</si>
  <si>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</si>
  <si>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</si>
  <si>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</si>
  <si>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</si>
  <si>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</si>
  <si>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</si>
  <si>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</si>
  <si>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</si>
  <si>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</si>
  <si>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</si>
  <si>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</si>
  <si>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</si>
  <si>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</si>
  <si>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</si>
  <si>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</si>
  <si>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</si>
  <si>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</si>
  <si>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</si>
  <si>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</si>
  <si>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</si>
  <si>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</si>
  <si>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</si>
  <si>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</si>
  <si>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</si>
  <si>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</si>
  <si>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</si>
  <si>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</si>
  <si>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</si>
  <si>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</si>
  <si>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</si>
  <si>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</si>
  <si>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</si>
  <si>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</si>
  <si>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</si>
  <si>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</si>
  <si>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</si>
  <si>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</si>
  <si>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</si>
  <si>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</si>
  <si>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</si>
  <si>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</si>
  <si>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</si>
  <si>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</si>
  <si>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</si>
  <si>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</si>
  <si>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</si>
  <si>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</si>
  <si>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</si>
  <si>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</si>
  <si>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</si>
  <si>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</si>
  <si>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</si>
  <si>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</si>
  <si>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</si>
  <si>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</si>
  <si>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</si>
  <si>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</si>
  <si>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</si>
  <si>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</si>
  <si>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</si>
  <si>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</si>
  <si>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</si>
  <si>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</si>
  <si>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</si>
  <si>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</si>
  <si>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</si>
  <si>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</si>
  <si>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</si>
  <si>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</si>
  <si>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</si>
  <si>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</si>
  <si>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</si>
  <si>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</si>
  <si>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</si>
  <si>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</si>
  <si>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</si>
  <si>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</si>
  <si>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</si>
  <si>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</si>
  <si>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</si>
  <si>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</si>
  <si>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</si>
  <si>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</si>
  <si>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</si>
  <si>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</si>
  <si>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</si>
  <si>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</si>
  <si>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</si>
  <si>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</si>
  <si>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</si>
  <si>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</si>
  <si>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</si>
  <si>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</si>
  <si>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</si>
  <si>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</si>
  <si>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</si>
  <si>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</si>
  <si>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</si>
  <si>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</si>
  <si>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</si>
  <si>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</si>
  <si>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</si>
  <si>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</si>
  <si>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</si>
  <si>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</si>
  <si>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</si>
  <si>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</si>
  <si>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</si>
  <si>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</si>
  <si>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</si>
  <si>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</si>
  <si>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</si>
  <si>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</si>
  <si>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</si>
  <si>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</si>
  <si>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</si>
  <si>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</si>
  <si>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</si>
  <si>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</si>
  <si>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</si>
  <si>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</si>
  <si>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</si>
  <si>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</si>
  <si>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</si>
  <si>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</si>
  <si>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</si>
  <si>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</si>
  <si>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</si>
  <si>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</si>
  <si>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</si>
  <si>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</si>
  <si>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</si>
  <si>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</si>
  <si>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</si>
  <si>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</si>
  <si>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</si>
  <si>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</si>
  <si>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</si>
  <si>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</si>
  <si>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</si>
  <si>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</si>
  <si>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</si>
  <si>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</si>
  <si>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</si>
  <si>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</si>
  <si>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</si>
  <si>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</si>
  <si>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</si>
  <si>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</si>
  <si>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</si>
  <si>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</si>
  <si>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</si>
  <si>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</si>
  <si>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</si>
  <si>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</si>
  <si>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</si>
  <si>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</si>
  <si>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</si>
  <si>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</si>
  <si>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</si>
  <si>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</si>
  <si>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</si>
  <si>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</si>
  <si>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</si>
  <si>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</si>
  <si>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</si>
  <si>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</si>
  <si>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</si>
  <si>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</si>
  <si>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</si>
  <si>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</si>
  <si>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</si>
  <si>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</si>
  <si>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</si>
  <si>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</si>
  <si>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</si>
  <si>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</si>
  <si>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</si>
  <si>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</si>
  <si>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</si>
  <si>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</si>
  <si>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</si>
  <si>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</si>
  <si>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</si>
  <si>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</si>
  <si>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</si>
  <si>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</si>
  <si>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</si>
  <si>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</si>
  <si>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</si>
  <si>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</si>
  <si>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</si>
  <si>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</si>
  <si>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</si>
  <si>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</si>
  <si>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</si>
  <si>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</si>
  <si>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</si>
  <si>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</si>
  <si>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</si>
  <si>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</si>
  <si>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</si>
  <si>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</si>
  <si>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</si>
  <si>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</si>
  <si>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</si>
  <si>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</si>
  <si>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</si>
  <si>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</si>
  <si>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</si>
  <si>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</si>
  <si>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</si>
  <si>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</si>
  <si>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</si>
  <si>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</si>
  <si>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</si>
  <si>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</si>
  <si>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</si>
  <si>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</si>
  <si>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</si>
  <si>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</si>
  <si>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</si>
  <si>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</si>
  <si>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</si>
  <si>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</si>
  <si>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</si>
  <si>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</si>
  <si>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</si>
  <si>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</si>
  <si>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</si>
  <si>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</si>
  <si>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</si>
  <si>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</si>
  <si>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</si>
  <si>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</si>
  <si>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</si>
  <si>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</si>
  <si>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</si>
  <si>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</si>
  <si>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</si>
  <si>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</si>
  <si>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</si>
  <si>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</si>
  <si>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</si>
  <si>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</si>
  <si>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</si>
  <si>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</si>
  <si>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</si>
  <si>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</si>
  <si>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</si>
  <si>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</si>
  <si>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</si>
  <si>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</si>
  <si>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</si>
  <si>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</si>
  <si>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</si>
  <si>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</si>
  <si>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</si>
  <si>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</si>
  <si>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</si>
  <si>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</si>
  <si>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</si>
  <si>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</si>
  <si>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</si>
  <si>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</si>
  <si>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</si>
  <si>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</si>
  <si>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</si>
  <si>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</si>
  <si>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</si>
  <si>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</si>
  <si>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</si>
  <si>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</si>
  <si>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</si>
  <si>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</si>
  <si>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</si>
  <si>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</si>
  <si>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</si>
  <si>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</si>
  <si>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</si>
  <si>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</si>
  <si>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</si>
  <si>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</si>
  <si>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</si>
  <si>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</si>
  <si>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</si>
  <si>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</si>
  <si>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</si>
  <si>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</si>
  <si>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</si>
  <si>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</si>
  <si>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</si>
  <si>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</si>
  <si>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</si>
  <si>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</si>
  <si>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</si>
  <si>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</si>
  <si>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</si>
  <si>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</si>
  <si>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</si>
  <si>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</si>
  <si>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</si>
  <si>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</si>
  <si>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</si>
  <si>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</si>
  <si>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</si>
  <si>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</si>
  <si>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</si>
  <si>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</si>
  <si>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</si>
  <si>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</si>
  <si>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</si>
  <si>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</si>
  <si>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</si>
  <si>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</si>
  <si>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</si>
  <si>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</si>
  <si>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</si>
  <si>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</si>
  <si>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</si>
  <si>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</si>
  <si>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</si>
  <si>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</si>
  <si>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</si>
  <si>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</si>
  <si>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</si>
  <si>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</si>
  <si>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</si>
  <si>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</si>
  <si>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</si>
  <si>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</si>
  <si>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</si>
  <si>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</si>
  <si>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</si>
  <si>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</si>
  <si>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</si>
  <si>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</si>
  <si>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</si>
  <si>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</si>
  <si>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</si>
  <si>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</si>
  <si>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</si>
  <si>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</si>
  <si>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</si>
  <si>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</si>
  <si>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</si>
  <si>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</si>
  <si>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</si>
  <si>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</si>
  <si>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</si>
  <si>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</si>
  <si>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</si>
  <si>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</si>
  <si>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</si>
  <si>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</si>
  <si>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</si>
  <si>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</si>
  <si>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</si>
  <si>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</si>
  <si>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</si>
  <si>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</si>
  <si>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</si>
  <si>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</si>
  <si>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</si>
  <si>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</si>
  <si>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</si>
  <si>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</si>
  <si>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</si>
  <si>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</si>
  <si>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</si>
  <si>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</si>
  <si>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</si>
  <si>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</si>
  <si>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</si>
  <si>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</si>
  <si>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</si>
  <si>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</si>
  <si>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</si>
  <si>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</si>
  <si>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</si>
  <si>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</si>
  <si>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</si>
  <si>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</si>
  <si>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</si>
  <si>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</si>
  <si>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</si>
  <si>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</si>
  <si>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</si>
  <si>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</si>
  <si>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</si>
  <si>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</si>
  <si>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</si>
  <si>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</si>
  <si>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</si>
  <si>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</si>
  <si>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</si>
  <si>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</si>
  <si>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</si>
  <si>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</si>
  <si>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</si>
  <si>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</si>
  <si>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</si>
  <si>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</si>
  <si>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</si>
  <si>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</si>
  <si>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</si>
  <si>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</si>
  <si>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</si>
  <si>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</si>
  <si>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</si>
  <si>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</si>
  <si>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</si>
  <si>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</si>
  <si>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</si>
  <si>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</si>
  <si>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</si>
  <si>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</si>
  <si>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</si>
  <si>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</si>
  <si>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</si>
  <si>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</si>
  <si>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</si>
  <si>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</si>
  <si>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</si>
  <si>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</si>
  <si>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</si>
  <si>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</si>
  <si>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</si>
  <si>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</si>
  <si>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</si>
  <si>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</si>
  <si>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</si>
  <si>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</si>
  <si>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</si>
  <si>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</si>
  <si>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</si>
  <si>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</si>
  <si>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</si>
  <si>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</si>
  <si>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</si>
  <si>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</si>
  <si>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</si>
  <si>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</si>
  <si>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</si>
  <si>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</si>
  <si>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</si>
  <si>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</si>
  <si>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</si>
  <si>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</si>
  <si>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</si>
  <si>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</si>
  <si>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</si>
  <si>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</si>
  <si>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</si>
  <si>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</si>
  <si>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</si>
  <si>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</si>
  <si>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</si>
  <si>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</si>
  <si>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</si>
  <si>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</si>
  <si>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</si>
  <si>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</si>
  <si>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</si>
  <si>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</si>
  <si>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</si>
  <si>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</si>
  <si>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</si>
  <si>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</si>
  <si>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</si>
  <si>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</si>
  <si>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</si>
  <si>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</si>
  <si>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</si>
  <si>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</si>
  <si>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</si>
  <si>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</si>
  <si>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</si>
  <si>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</si>
  <si>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</si>
  <si>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</si>
  <si>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</si>
  <si>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</si>
  <si>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</si>
  <si>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</si>
  <si>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</si>
  <si>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</si>
  <si>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</si>
  <si>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</si>
  <si>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</si>
  <si>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</si>
  <si>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</si>
  <si>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</si>
  <si>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</si>
  <si>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</si>
  <si>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</si>
  <si>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</si>
  <si>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</si>
  <si>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</si>
  <si>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</si>
  <si>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</si>
  <si>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</si>
  <si>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</si>
  <si>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</si>
  <si>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</si>
  <si>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</si>
  <si>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</si>
  <si>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</si>
  <si>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</si>
  <si>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</si>
  <si>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</si>
  <si>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</si>
  <si>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</si>
  <si>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</si>
  <si>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</si>
  <si>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</si>
  <si>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</si>
  <si>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</si>
  <si>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</si>
  <si>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</si>
  <si>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</si>
  <si>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</si>
  <si>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</si>
  <si>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</si>
  <si>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</si>
  <si>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</si>
  <si>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</si>
  <si>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</si>
  <si>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</si>
  <si>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</si>
  <si>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</si>
  <si>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</si>
  <si>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</si>
  <si>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</si>
  <si>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</si>
  <si>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</si>
  <si>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</si>
  <si>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</si>
  <si>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</si>
  <si>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</si>
  <si>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</si>
  <si>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</si>
  <si>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</si>
  <si>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</si>
  <si>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</si>
  <si>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</si>
  <si>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</si>
  <si>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</si>
  <si>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</si>
  <si>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</si>
  <si>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</si>
  <si>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</si>
  <si>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</si>
  <si>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</si>
  <si>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</si>
  <si>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</si>
  <si>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</si>
  <si>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</si>
  <si>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</si>
  <si>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</si>
  <si>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</si>
  <si>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</si>
  <si>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</si>
  <si>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</si>
  <si>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</si>
  <si>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</si>
  <si>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</si>
  <si>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</si>
  <si>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</si>
  <si>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</si>
  <si>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</si>
  <si>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</si>
  <si>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</si>
  <si>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</si>
  <si>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</si>
  <si>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</si>
  <si>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</si>
  <si>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</si>
  <si>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</si>
  <si>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</si>
  <si>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</si>
  <si>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</si>
  <si>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</si>
  <si>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</si>
  <si>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</si>
  <si>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</si>
  <si>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</si>
  <si>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</si>
  <si>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</si>
  <si>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</si>
  <si>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</si>
  <si>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</si>
  <si>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</si>
  <si>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</si>
  <si>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</si>
  <si>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</si>
  <si>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</si>
  <si>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</si>
  <si>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</si>
  <si>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</si>
  <si>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</si>
  <si>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</si>
  <si>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</si>
  <si>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</si>
  <si>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</si>
  <si>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</si>
  <si>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</si>
  <si>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</si>
  <si>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</si>
  <si>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</si>
  <si>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</si>
  <si>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</si>
  <si>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</si>
  <si>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</si>
  <si>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</si>
  <si>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</si>
  <si>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</si>
  <si>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</si>
  <si>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</si>
  <si>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</si>
  <si>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</si>
  <si>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</si>
  <si>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</si>
  <si>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</si>
  <si>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</si>
  <si>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</si>
  <si>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</si>
  <si>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</si>
  <si>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</si>
  <si>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</si>
  <si>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</si>
  <si>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</si>
  <si>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</si>
  <si>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</si>
  <si>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</si>
  <si>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</si>
  <si>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</si>
  <si>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</si>
  <si>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</si>
  <si>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</si>
  <si>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</si>
  <si>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</si>
  <si>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</si>
  <si>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</si>
  <si>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</si>
  <si>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</si>
  <si>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</si>
  <si>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</si>
  <si>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</si>
  <si>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</si>
  <si>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</si>
  <si>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</si>
  <si>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</si>
  <si>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</si>
  <si>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</si>
  <si>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</si>
  <si>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</si>
  <si>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</si>
  <si>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</si>
  <si>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</si>
  <si>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</si>
  <si>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</si>
  <si>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</si>
  <si>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</si>
  <si>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</si>
  <si>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</si>
  <si>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</si>
  <si>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</si>
  <si>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</si>
  <si>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</si>
  <si>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</si>
  <si>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</si>
  <si>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</si>
  <si>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</si>
  <si>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</si>
  <si>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</si>
  <si>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</si>
  <si>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</si>
  <si>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</si>
  <si>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</si>
  <si>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</si>
  <si>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</si>
  <si>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</si>
  <si>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</si>
  <si>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</si>
  <si>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</si>
  <si>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</si>
  <si>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</si>
  <si>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</si>
  <si>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</si>
  <si>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</si>
  <si>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</si>
  <si>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</si>
  <si>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</si>
  <si>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</si>
  <si>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</si>
  <si>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</si>
  <si>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</si>
  <si>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</si>
  <si>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</si>
  <si>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</si>
  <si>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</si>
  <si>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</si>
  <si>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</si>
  <si>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</si>
  <si>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</si>
  <si>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</si>
  <si>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</si>
  <si>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</si>
  <si>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</si>
  <si>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</si>
  <si>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</si>
  <si>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</si>
  <si>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</si>
  <si>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</si>
  <si>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</si>
  <si>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</si>
  <si>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</si>
  <si>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</si>
  <si>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</si>
  <si>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</si>
  <si>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</si>
  <si>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</si>
  <si>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</si>
  <si>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</si>
  <si>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</si>
  <si>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</si>
  <si>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</si>
  <si>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</si>
  <si>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</si>
  <si>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</si>
  <si>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</si>
  <si>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</si>
  <si>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</si>
  <si>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</si>
  <si>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</si>
  <si>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</si>
  <si>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</si>
  <si>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</si>
  <si>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</si>
  <si>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</si>
  <si>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</si>
  <si>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</si>
  <si>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</si>
  <si>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</si>
  <si>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</si>
  <si>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</si>
  <si>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</si>
  <si>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</si>
  <si>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</si>
  <si>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</si>
  <si>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</si>
  <si>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</si>
  <si>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</si>
  <si>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</si>
  <si>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</si>
  <si>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</si>
  <si>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</si>
  <si>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</si>
  <si>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</si>
  <si>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</si>
  <si>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</si>
  <si>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</si>
  <si>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</si>
  <si>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</si>
  <si>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</si>
  <si>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</si>
  <si>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</si>
  <si>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</si>
  <si>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</si>
  <si>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</si>
  <si>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</si>
  <si>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</si>
  <si>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</si>
  <si>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</si>
  <si>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</si>
  <si>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</si>
  <si>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</si>
  <si>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</si>
  <si>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</si>
  <si>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</si>
  <si>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</si>
  <si>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</si>
  <si>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</si>
  <si>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</si>
  <si>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</si>
  <si>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</si>
  <si>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</si>
  <si>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</si>
  <si>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</si>
  <si>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</si>
  <si>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</si>
  <si>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</si>
  <si>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</si>
  <si>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</si>
  <si>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</si>
  <si>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</si>
  <si>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</si>
  <si>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</si>
  <si>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</si>
  <si>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</si>
  <si>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</si>
  <si>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</si>
  <si>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</si>
  <si>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</si>
  <si>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</si>
  <si>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</si>
  <si>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</si>
  <si>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</si>
  <si>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</si>
  <si>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</si>
  <si>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</si>
  <si>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</si>
  <si>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</si>
  <si>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</si>
  <si>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</si>
  <si>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</si>
  <si>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</si>
  <si>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</si>
  <si>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</si>
  <si>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</si>
  <si>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</si>
  <si>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</si>
  <si>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</si>
  <si>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</si>
  <si>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</si>
  <si>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</si>
  <si>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</si>
  <si>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</si>
  <si>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</si>
  <si>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</si>
  <si>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</si>
  <si>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</si>
  <si>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</si>
  <si>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</si>
  <si>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</si>
  <si>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</si>
  <si>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</si>
  <si>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</si>
  <si>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</si>
  <si>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</si>
  <si>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</si>
  <si>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</si>
  <si>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</si>
  <si>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</si>
  <si>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</si>
  <si>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</si>
  <si>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</si>
  <si>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</si>
  <si>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</si>
  <si>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</si>
  <si>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</si>
  <si>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</si>
  <si>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</si>
  <si>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</si>
  <si>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</si>
  <si>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</si>
  <si>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</si>
  <si>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</si>
  <si>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</si>
  <si>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</si>
  <si>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</si>
  <si>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</si>
  <si>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</si>
  <si>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</si>
  <si>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</si>
  <si>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</si>
  <si>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</si>
  <si>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</si>
  <si>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</si>
  <si>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</si>
  <si>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</si>
  <si>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</si>
  <si>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</si>
  <si>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</si>
  <si>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</si>
  <si>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</si>
  <si>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</si>
  <si>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</si>
  <si>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</si>
  <si>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</si>
  <si>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</si>
  <si>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</si>
  <si>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</si>
  <si>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</si>
  <si>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</si>
  <si>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</si>
  <si>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</si>
  <si>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</si>
  <si>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</si>
  <si>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</si>
  <si>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</si>
  <si>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</si>
  <si>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</si>
  <si>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</si>
  <si>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</si>
  <si>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</si>
  <si>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</si>
  <si>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</si>
  <si>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</si>
  <si>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</si>
  <si>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</si>
  <si>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</si>
  <si>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</si>
  <si>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</si>
  <si>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</si>
  <si>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</si>
  <si>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</si>
  <si>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</si>
  <si>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</si>
  <si>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</si>
  <si>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</si>
  <si>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</si>
  <si>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</si>
  <si>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</si>
  <si>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</si>
  <si>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</si>
  <si>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</si>
  <si>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</si>
  <si>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</si>
  <si>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</si>
  <si>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</si>
  <si>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</si>
  <si>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</si>
  <si>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</si>
  <si>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</si>
  <si>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</si>
  <si>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</si>
  <si>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</si>
  <si>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</si>
  <si>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</si>
  <si>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</si>
  <si>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</si>
  <si>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</si>
  <si>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</si>
  <si>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</si>
  <si>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</si>
  <si>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</si>
  <si>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</si>
  <si>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</si>
  <si>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</si>
  <si>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</si>
  <si>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</si>
  <si>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</si>
  <si>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</si>
  <si>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</si>
  <si>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</si>
  <si>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</si>
  <si>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</si>
  <si>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</si>
  <si>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</si>
  <si>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</si>
  <si>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</si>
  <si>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</si>
  <si>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</si>
  <si>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</si>
  <si>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</si>
  <si>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</si>
  <si>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</si>
  <si>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</si>
  <si>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</si>
  <si>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</si>
  <si>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</si>
  <si>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</si>
  <si>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</si>
  <si>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</si>
  <si>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</si>
  <si>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</si>
  <si>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</si>
  <si>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</si>
  <si>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</si>
  <si>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</si>
  <si>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</si>
  <si>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</si>
  <si>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</si>
  <si>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</si>
  <si>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</si>
  <si>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</si>
  <si>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</si>
  <si>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</si>
  <si>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</si>
  <si>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</si>
  <si>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</si>
  <si>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</si>
  <si>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</si>
  <si>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</si>
  <si>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</si>
  <si>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</si>
  <si>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</si>
  <si>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</si>
  <si>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</si>
  <si>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</si>
  <si>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</si>
  <si>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</si>
  <si>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</si>
  <si>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</si>
  <si>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</si>
  <si>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</si>
  <si>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</si>
  <si>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</si>
  <si>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</si>
  <si>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</si>
  <si>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</si>
  <si>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</si>
  <si>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</si>
  <si>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</si>
  <si>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</si>
  <si>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</si>
  <si>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</si>
  <si>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</si>
  <si>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</si>
  <si>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</si>
  <si>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</si>
  <si>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</si>
  <si>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</si>
  <si>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</si>
  <si>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</si>
  <si>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</si>
  <si>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</si>
  <si>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</si>
  <si>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</si>
  <si>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</si>
  <si>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</si>
  <si>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</si>
  <si>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</si>
  <si>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</si>
  <si>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</si>
  <si>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</si>
  <si>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</si>
  <si>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</si>
  <si>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</si>
  <si>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</si>
  <si>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</si>
  <si>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</si>
  <si>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</si>
  <si>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</si>
  <si>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</si>
  <si>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</si>
  <si>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</si>
  <si>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</si>
  <si>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</si>
  <si>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</si>
  <si>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</si>
  <si>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</si>
  <si>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</si>
  <si>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</si>
  <si>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</si>
  <si>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</si>
  <si>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</si>
  <si>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</si>
  <si>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</si>
  <si>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</si>
  <si>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</si>
  <si>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</si>
  <si>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</si>
  <si>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</si>
  <si>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</si>
  <si>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</si>
  <si>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</si>
  <si>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</si>
  <si>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</si>
  <si>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</si>
  <si>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</si>
  <si>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</si>
  <si>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</si>
  <si>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</si>
  <si>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</si>
  <si>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</si>
  <si>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</si>
  <si>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</si>
  <si>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</si>
  <si>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</si>
  <si>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</si>
  <si>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</si>
  <si>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</si>
  <si>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</si>
  <si>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</si>
  <si>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</si>
  <si>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</si>
  <si>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</si>
  <si>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</si>
  <si>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</si>
  <si>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</si>
  <si>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</si>
  <si>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</si>
  <si>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</si>
  <si>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</si>
  <si>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</si>
  <si>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</si>
  <si>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</si>
  <si>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</si>
  <si>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</si>
  <si>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</si>
  <si>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</si>
  <si>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</si>
  <si>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</si>
  <si>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</si>
  <si>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</si>
  <si>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</si>
  <si>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</si>
  <si>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</si>
  <si>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</si>
  <si>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</si>
  <si>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</si>
  <si>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</si>
  <si>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</si>
  <si>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</si>
  <si>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</si>
  <si>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</si>
  <si>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</si>
  <si>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</si>
  <si>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</si>
  <si>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</si>
  <si>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</si>
  <si>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</si>
  <si>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</si>
  <si>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</si>
  <si>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</si>
  <si>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</si>
  <si>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</si>
  <si>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</si>
  <si>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</si>
  <si>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</si>
  <si>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</si>
  <si>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</si>
  <si>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</si>
  <si>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</si>
  <si>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</si>
  <si>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</si>
  <si>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</si>
  <si>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</si>
  <si>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</si>
  <si>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</si>
  <si>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</si>
  <si>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</si>
  <si>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</si>
  <si>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</si>
  <si>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</si>
  <si>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</si>
  <si>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</si>
  <si>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</si>
  <si>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</si>
  <si>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</si>
  <si>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</si>
  <si>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</si>
  <si>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</si>
  <si>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</si>
  <si>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</si>
  <si>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</si>
  <si>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</si>
  <si>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</si>
  <si>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</si>
  <si>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</si>
  <si>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</si>
  <si>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</si>
  <si>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</si>
  <si>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</si>
  <si>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</si>
  <si>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</si>
  <si>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</si>
  <si>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</si>
  <si>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</si>
  <si>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</si>
  <si>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</si>
  <si>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</si>
  <si>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</si>
  <si>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</si>
  <si>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</si>
  <si>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</si>
  <si>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</si>
  <si>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</si>
  <si>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</si>
  <si>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</si>
  <si>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</si>
  <si>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</si>
  <si>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</si>
  <si>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</si>
  <si>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</si>
  <si>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</si>
  <si>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</si>
  <si>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</si>
  <si>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</si>
  <si>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</si>
  <si>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</si>
  <si>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</si>
  <si>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</si>
  <si>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</si>
  <si>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</si>
  <si>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</si>
  <si>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</si>
  <si>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</si>
  <si>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</si>
  <si>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</si>
  <si>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</si>
  <si>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</si>
  <si>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</si>
  <si>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</si>
  <si>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</si>
  <si>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</si>
  <si>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</si>
  <si>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</si>
  <si>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</si>
  <si>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</si>
  <si>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</si>
  <si>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</si>
  <si>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</si>
  <si>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</si>
  <si>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</si>
  <si>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</si>
  <si>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</si>
  <si>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</si>
  <si>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</si>
  <si>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</si>
  <si>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</si>
  <si>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</si>
  <si>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</si>
  <si>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</si>
  <si>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</si>
  <si>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</si>
  <si>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</si>
  <si>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</si>
  <si>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</si>
  <si>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</si>
  <si>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</si>
  <si>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</si>
  <si>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</si>
  <si>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</si>
  <si>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</si>
  <si>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</si>
  <si>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</si>
  <si>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</si>
  <si>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</si>
  <si>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</si>
  <si>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</si>
  <si>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</si>
  <si>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</si>
  <si>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</si>
  <si>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</si>
  <si>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</si>
  <si>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</si>
  <si>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</si>
  <si>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</si>
  <si>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</si>
  <si>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</si>
  <si>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</si>
  <si>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</si>
  <si>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</si>
  <si>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</si>
  <si>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</si>
  <si>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</si>
  <si>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</si>
  <si>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</si>
  <si>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</si>
  <si>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</si>
  <si>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</si>
  <si>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</si>
  <si>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</si>
  <si>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</si>
  <si>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</si>
  <si>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</si>
  <si>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</si>
  <si>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</si>
  <si>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</si>
  <si>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</si>
  <si>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</si>
  <si>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</si>
  <si>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</si>
  <si>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</si>
  <si>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</si>
  <si>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</si>
  <si>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</si>
  <si>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</si>
  <si>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</si>
  <si>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</si>
  <si>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</si>
  <si>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</si>
  <si>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</si>
  <si>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</si>
  <si>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</si>
  <si>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</si>
  <si>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</si>
  <si>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</si>
  <si>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</si>
  <si>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</si>
  <si>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</si>
  <si>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</si>
  <si>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</si>
  <si>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</si>
  <si>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</si>
  <si>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</si>
  <si>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</si>
  <si>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</si>
  <si>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</si>
  <si>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</si>
  <si>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</si>
  <si>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</si>
  <si>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</si>
  <si>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</si>
  <si>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</si>
  <si>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</si>
  <si>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</si>
  <si>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</si>
  <si>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</si>
  <si>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</si>
  <si>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</si>
  <si>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</si>
  <si>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</si>
  <si>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</si>
  <si>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</si>
  <si>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</si>
  <si>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</si>
  <si>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</si>
  <si>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</si>
  <si>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</si>
  <si>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</si>
  <si>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</si>
  <si>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</si>
  <si>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</si>
  <si>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</si>
  <si>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</si>
  <si>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</si>
  <si>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</si>
  <si>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</si>
  <si>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</si>
  <si>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</si>
  <si>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</si>
  <si>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</si>
  <si>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</si>
  <si>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</si>
  <si>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</si>
  <si>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</si>
  <si>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</si>
  <si>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</si>
  <si>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</si>
  <si>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</si>
  <si>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</si>
  <si>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</si>
  <si>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</si>
  <si>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</si>
  <si>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</si>
  <si>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</si>
  <si>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</si>
  <si>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</si>
  <si>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</si>
  <si>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</si>
  <si>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</si>
  <si>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</si>
  <si>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</si>
  <si>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</si>
  <si>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</si>
  <si>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</si>
  <si>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</si>
  <si>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</si>
  <si>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</si>
  <si>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</si>
  <si>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</si>
  <si>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</si>
  <si>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</si>
  <si>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</si>
  <si>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</si>
  <si>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</si>
  <si>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</si>
  <si>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</si>
  <si>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</si>
  <si>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</si>
  <si>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</si>
  <si>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</si>
  <si>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</si>
  <si>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</si>
  <si>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</si>
  <si>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</si>
  <si>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</si>
  <si>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</si>
  <si>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</si>
  <si>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</si>
  <si>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</si>
  <si>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</si>
  <si>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</si>
  <si>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</si>
  <si>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</si>
  <si>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</si>
  <si>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</si>
  <si>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</si>
  <si>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</si>
  <si>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</si>
  <si>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</si>
  <si>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</si>
  <si>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</si>
  <si>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</si>
  <si>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</si>
  <si>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</si>
  <si>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</si>
  <si>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</si>
  <si>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</si>
  <si>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</si>
  <si>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</si>
  <si>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</si>
  <si>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</si>
  <si>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</si>
  <si>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</si>
  <si>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</si>
  <si>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</si>
  <si>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</si>
  <si>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</si>
  <si>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</si>
  <si>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</si>
  <si>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</si>
  <si>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</si>
  <si>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</si>
  <si>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</si>
  <si>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</si>
  <si>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</si>
  <si>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</si>
  <si>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</si>
  <si>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</si>
  <si>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</si>
  <si>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</si>
  <si>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</si>
  <si>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</si>
  <si>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</si>
  <si>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</si>
  <si>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</si>
  <si>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</si>
  <si>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</si>
  <si>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</si>
  <si>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</si>
  <si>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</si>
  <si>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</si>
  <si>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</si>
  <si>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</si>
  <si>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</si>
  <si>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</si>
  <si>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</si>
  <si>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</si>
  <si>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</si>
  <si>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</si>
  <si>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</si>
  <si>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</si>
  <si>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</si>
  <si>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</si>
  <si>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</si>
  <si>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</si>
  <si>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</si>
  <si>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</si>
  <si>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</si>
  <si>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</si>
  <si>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</si>
  <si>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</si>
  <si>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</si>
  <si>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</si>
  <si>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</si>
  <si>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</si>
  <si>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</si>
  <si>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</si>
  <si>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</si>
  <si>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</si>
  <si>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</si>
  <si>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</si>
  <si>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</si>
  <si>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</si>
  <si>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</si>
  <si>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</si>
  <si>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</si>
  <si>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</si>
  <si>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</si>
  <si>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</si>
  <si>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</si>
  <si>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</si>
  <si>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</si>
  <si>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</si>
  <si>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</si>
  <si>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</si>
  <si>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</si>
  <si>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</si>
  <si>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</si>
  <si>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</si>
  <si>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</si>
  <si>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</si>
  <si>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</si>
  <si>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</si>
  <si>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</si>
  <si>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</si>
  <si>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</si>
  <si>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</si>
  <si>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</si>
  <si>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</si>
  <si>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</si>
  <si>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</si>
  <si>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</si>
  <si>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</si>
  <si>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</si>
  <si>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</si>
  <si>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</si>
  <si>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</si>
  <si>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</si>
  <si>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</si>
  <si>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</si>
  <si>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</si>
  <si>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</si>
  <si>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</si>
  <si>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</si>
  <si>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</si>
  <si>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</si>
  <si>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</si>
  <si>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</si>
  <si>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</si>
  <si>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</si>
  <si>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</si>
  <si>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</si>
  <si>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</si>
  <si>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</si>
  <si>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</si>
  <si>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</si>
  <si>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</si>
  <si>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</si>
  <si>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</si>
  <si>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</si>
  <si>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</si>
  <si>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</si>
  <si>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</si>
  <si>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</si>
  <si>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</si>
  <si>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</si>
  <si>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</si>
  <si>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</si>
  <si>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</si>
  <si>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</si>
  <si>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</si>
  <si>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</si>
  <si>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</si>
  <si>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</si>
  <si>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</si>
  <si>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</si>
  <si>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</si>
  <si>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</si>
  <si>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</si>
  <si>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</si>
  <si>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</si>
  <si>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</si>
  <si>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</si>
  <si>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</si>
  <si>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</si>
  <si>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</si>
  <si>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</si>
  <si>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</si>
  <si>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</si>
  <si>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</si>
  <si>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</si>
  <si>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</si>
  <si>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</si>
  <si>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</si>
  <si>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</si>
  <si>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</si>
  <si>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</si>
  <si>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</si>
  <si>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</si>
  <si>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</si>
  <si>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</si>
  <si>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</si>
  <si>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</si>
  <si>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</si>
  <si>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</si>
  <si>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</si>
  <si>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</si>
  <si>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</si>
  <si>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</si>
  <si>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</si>
  <si>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</si>
  <si>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</si>
  <si>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</si>
  <si>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</si>
  <si>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</si>
  <si>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</si>
  <si>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</si>
  <si>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</si>
  <si>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</si>
  <si>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</si>
  <si>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</si>
  <si>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</si>
  <si>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</si>
  <si>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</si>
  <si>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</si>
  <si>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</si>
  <si>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</si>
  <si>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</si>
  <si>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</si>
  <si>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</si>
  <si>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</si>
  <si>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</si>
  <si>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</si>
  <si>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</si>
  <si>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</si>
  <si>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</si>
  <si>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</si>
  <si>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</si>
  <si>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</si>
  <si>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</si>
  <si>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</si>
  <si>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</si>
  <si>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</si>
  <si>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</si>
  <si>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</si>
  <si>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</si>
  <si>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</si>
  <si>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</si>
  <si>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</si>
  <si>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</si>
  <si>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</si>
  <si>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</si>
  <si>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</si>
  <si>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</si>
  <si>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</si>
  <si>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</si>
  <si>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</si>
  <si>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</si>
  <si>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</si>
  <si>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</si>
  <si>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</si>
  <si>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</si>
  <si>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</si>
  <si>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</si>
  <si>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</si>
  <si>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</si>
  <si>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</si>
  <si>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</si>
  <si>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</si>
  <si>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</si>
  <si>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</si>
  <si>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</si>
  <si>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</si>
  <si>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</si>
  <si>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</si>
  <si>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</si>
  <si>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</si>
  <si>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</si>
  <si>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</si>
  <si>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</si>
  <si>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</si>
  <si>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</si>
  <si>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</si>
  <si>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</si>
  <si>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</si>
  <si>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</si>
  <si>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</si>
  <si>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</si>
  <si>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</si>
  <si>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</si>
  <si>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</si>
  <si>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</si>
  <si>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</si>
  <si>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</si>
  <si>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</si>
  <si>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</si>
  <si>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</si>
  <si>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</si>
  <si>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</si>
  <si>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</si>
  <si>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</si>
  <si>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</si>
  <si>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</si>
  <si>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</si>
  <si>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</si>
  <si>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</si>
  <si>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</si>
  <si>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</si>
  <si>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</si>
  <si>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</si>
  <si>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</si>
  <si>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</si>
  <si>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</si>
  <si>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</si>
  <si>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</si>
  <si>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</si>
  <si>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</si>
  <si>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</si>
  <si>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</si>
  <si>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</si>
  <si>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</si>
  <si>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</si>
  <si>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</si>
  <si>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</si>
  <si>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</si>
  <si>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</si>
  <si>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</si>
  <si>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</si>
  <si>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</si>
  <si>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</si>
  <si>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</si>
  <si>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</si>
  <si>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</si>
  <si>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</si>
  <si>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</si>
  <si>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</si>
  <si>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</si>
  <si>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</si>
  <si>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</si>
  <si>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</si>
  <si>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</si>
  <si>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</si>
  <si>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</si>
  <si>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</si>
  <si>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</si>
  <si>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</si>
  <si>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</si>
  <si>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</si>
  <si>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</si>
  <si>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</si>
  <si>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</si>
  <si>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</si>
  <si>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</si>
  <si>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</si>
  <si>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</si>
  <si>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</si>
  <si>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</si>
  <si>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</si>
  <si>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</si>
  <si>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</si>
  <si>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</si>
  <si>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</si>
  <si>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</si>
  <si>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</si>
  <si>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</si>
  <si>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</si>
  <si>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</si>
  <si>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</si>
  <si>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</si>
  <si>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</si>
  <si>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</si>
  <si>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</si>
  <si>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</si>
  <si>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</si>
  <si>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</si>
  <si>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</si>
  <si>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</si>
  <si>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</si>
  <si>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</si>
  <si>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</si>
  <si>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</si>
  <si>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</si>
  <si>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</si>
  <si>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</si>
  <si>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</si>
  <si>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</si>
  <si>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</si>
  <si>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</si>
  <si>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</si>
  <si>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</si>
  <si>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</si>
  <si>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</si>
  <si>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</si>
  <si>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</si>
  <si>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</si>
  <si>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</si>
  <si>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</si>
  <si>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</si>
  <si>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</si>
  <si>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</si>
  <si>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</si>
  <si>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</si>
  <si>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</si>
  <si>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</si>
  <si>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</si>
  <si>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</si>
  <si>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</si>
  <si>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</si>
  <si>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</si>
  <si>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</si>
  <si>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</si>
  <si>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</si>
  <si>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</si>
  <si>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</si>
  <si>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</si>
  <si>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</si>
  <si>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</si>
  <si>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</si>
  <si>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</si>
  <si>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</si>
  <si>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</si>
  <si>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</si>
  <si>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</si>
  <si>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</si>
  <si>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</si>
  <si>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</si>
  <si>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</si>
  <si>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</si>
  <si>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</si>
  <si>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</si>
  <si>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</si>
  <si>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</si>
  <si>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</si>
  <si>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</si>
  <si>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</si>
  <si>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</si>
  <si>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</si>
  <si>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</si>
  <si>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</si>
  <si>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</si>
  <si>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</si>
  <si>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</si>
  <si>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</si>
  <si>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</si>
  <si>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</si>
  <si>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</si>
  <si>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</si>
  <si>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</si>
  <si>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</si>
  <si>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</si>
  <si>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</si>
  <si>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</si>
  <si>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</si>
  <si>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</si>
  <si>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</si>
  <si>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</si>
  <si>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</si>
  <si>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</si>
  <si>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</si>
  <si>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</si>
  <si>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</si>
  <si>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</si>
  <si>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</si>
  <si>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</si>
  <si>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</si>
  <si>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</si>
  <si>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</si>
  <si>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</si>
  <si>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</si>
  <si>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</si>
  <si>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</si>
  <si>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</si>
  <si>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</si>
  <si>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</si>
  <si>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</si>
  <si>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</si>
  <si>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</si>
  <si>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</si>
  <si>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</si>
  <si>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</si>
  <si>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</si>
  <si>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</si>
  <si>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</si>
  <si>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</si>
  <si>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</si>
  <si>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</si>
  <si>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</si>
  <si>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</si>
  <si>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</si>
  <si>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</si>
  <si>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</si>
  <si>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</si>
  <si>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</si>
  <si>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</si>
  <si>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</si>
  <si>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</si>
  <si>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</si>
  <si>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</si>
  <si>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</si>
  <si>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</si>
  <si>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</si>
  <si>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</si>
  <si>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</si>
  <si>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</si>
  <si>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</si>
  <si>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</si>
  <si>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</si>
  <si>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</si>
  <si>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</si>
  <si>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</si>
  <si>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</si>
  <si>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</si>
  <si>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</si>
  <si>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</si>
  <si>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</si>
  <si>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</si>
  <si>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</si>
  <si>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</si>
  <si>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</si>
  <si>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</si>
  <si>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</si>
  <si>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</si>
  <si>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</si>
  <si>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</si>
  <si>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</si>
  <si>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</si>
  <si>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</si>
  <si>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</si>
  <si>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</si>
  <si>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</si>
  <si>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</si>
  <si>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</si>
  <si>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</si>
  <si>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</si>
  <si>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</si>
  <si>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</si>
  <si>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</si>
  <si>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</si>
  <si>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</si>
  <si>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</si>
  <si>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</si>
  <si>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</si>
  <si>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</si>
  <si>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</si>
  <si>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</si>
  <si>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</si>
  <si>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</si>
  <si>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</si>
  <si>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</si>
  <si>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</si>
  <si>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</si>
  <si>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</si>
  <si>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</si>
  <si>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</si>
  <si>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</si>
  <si>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</si>
  <si>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</si>
  <si>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</si>
  <si>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</si>
  <si>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</si>
  <si>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</si>
  <si>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</si>
  <si>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</si>
  <si>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</si>
  <si>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</si>
  <si>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</si>
  <si>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</si>
  <si>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</si>
  <si>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</si>
  <si>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</si>
  <si>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</si>
  <si>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</si>
  <si>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</si>
  <si>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</si>
  <si>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</si>
  <si>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</si>
  <si>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</si>
  <si>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</si>
  <si>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</si>
  <si>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</si>
  <si>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</si>
  <si>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</si>
  <si>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</si>
  <si>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</si>
  <si>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</si>
  <si>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</si>
  <si>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</si>
  <si>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</si>
  <si>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</si>
  <si>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</si>
  <si>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</si>
  <si>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</si>
  <si>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</si>
  <si>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</si>
  <si>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</si>
  <si>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</si>
  <si>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</si>
  <si>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</si>
  <si>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</si>
  <si>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</si>
  <si>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</si>
  <si>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</si>
  <si>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</si>
  <si>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</si>
  <si>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</si>
  <si>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</si>
  <si>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</si>
  <si>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</si>
  <si>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</si>
  <si>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</si>
  <si>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</si>
  <si>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</si>
  <si>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</si>
  <si>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</si>
  <si>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</si>
  <si>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</si>
  <si>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</si>
  <si>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</si>
  <si>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</si>
  <si>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</si>
  <si>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</si>
  <si>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</si>
  <si>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</si>
  <si>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</si>
  <si>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</si>
  <si>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</si>
  <si>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</si>
  <si>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</si>
  <si>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</si>
  <si>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</si>
  <si>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</si>
  <si>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</si>
  <si>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</si>
  <si>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</si>
  <si>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</si>
  <si>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</si>
  <si>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</si>
  <si>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</si>
  <si>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</si>
  <si>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</si>
  <si>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</si>
  <si>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</si>
  <si>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</si>
  <si>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</si>
  <si>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</si>
  <si>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</si>
  <si>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</si>
  <si>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</si>
  <si>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</si>
  <si>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</si>
  <si>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</si>
  <si>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</si>
  <si>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</si>
  <si>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</si>
  <si>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</si>
  <si>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</si>
  <si>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</si>
  <si>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</si>
  <si>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</si>
  <si>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</si>
  <si>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</si>
  <si>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</si>
  <si>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</si>
  <si>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</si>
  <si>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</si>
  <si>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</si>
  <si>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</si>
  <si>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</si>
  <si>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</si>
  <si>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</si>
  <si>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</si>
  <si>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</si>
  <si>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</si>
  <si>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</si>
  <si>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</si>
  <si>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</si>
  <si>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</si>
  <si>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</si>
  <si>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</si>
  <si>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</si>
  <si>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</si>
  <si>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</si>
  <si>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</si>
  <si>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</si>
  <si>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</si>
  <si>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</si>
  <si>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</si>
  <si>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</si>
  <si>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</si>
  <si>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</si>
  <si>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</si>
  <si>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</si>
  <si>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</si>
  <si>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</si>
  <si>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</si>
  <si>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</si>
  <si>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</si>
  <si>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</si>
  <si>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</si>
  <si>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</si>
  <si>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</si>
  <si>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</si>
  <si>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</si>
  <si>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</si>
  <si>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</si>
  <si>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</si>
  <si>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</si>
  <si>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</si>
  <si>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</si>
  <si>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</si>
  <si>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</si>
  <si>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</si>
  <si>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</si>
  <si>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</si>
  <si>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</si>
  <si>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</si>
  <si>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</si>
  <si>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</si>
  <si>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赵雯</t>
  </si>
  <si>
    <t>北京精图科工贸集团</t>
    <phoneticPr fontId="6" type="noConversion"/>
  </si>
  <si>
    <t>农商行</t>
    <phoneticPr fontId="6" type="noConversion"/>
  </si>
  <si>
    <t>抵押</t>
  </si>
  <si>
    <t>抵押价格</t>
  </si>
  <si>
    <t>丰台区西三环南路16号商务金融用地出让国有建设用地使用权</t>
    <phoneticPr fontId="6" type="noConversion"/>
  </si>
  <si>
    <t>企业</t>
  </si>
  <si>
    <t>商务金融用地</t>
    <phoneticPr fontId="6" type="noConversion"/>
  </si>
  <si>
    <t>商业</t>
  </si>
  <si>
    <t>商业</t>
    <phoneticPr fontId="6" type="noConversion"/>
  </si>
  <si>
    <t>《不动产权证书》[京（2017）丰不动产权第0000229号]</t>
  </si>
  <si>
    <t>《不动产权证书》[京（2017）丰不动产权第0000229号]</t>
    <phoneticPr fontId="6" type="noConversion"/>
  </si>
  <si>
    <t>《国有建设用地使用权出让合同》[]及附件、《北京市规划委员会关于同意XX项目的规划设计方案的规划意见复函》[]以及《建设工程规划许可证》[]</t>
    <phoneticPr fontId="6" type="noConversion"/>
  </si>
  <si>
    <t>一致</t>
  </si>
  <si>
    <t>出让</t>
  </si>
  <si>
    <t>符合</t>
  </si>
  <si>
    <t>商业38.58年</t>
    <phoneticPr fontId="6" type="noConversion"/>
  </si>
  <si>
    <t>否</t>
  </si>
  <si>
    <t>商业项目</t>
  </si>
  <si>
    <t>无</t>
  </si>
  <si>
    <t>场地平整</t>
  </si>
  <si>
    <t>平整</t>
  </si>
  <si>
    <t>通路</t>
  </si>
  <si>
    <t>通电</t>
  </si>
  <si>
    <t>通讯</t>
  </si>
  <si>
    <t>通上水</t>
  </si>
  <si>
    <t>通下水</t>
  </si>
  <si>
    <t>通热</t>
  </si>
  <si>
    <t>燃气</t>
  </si>
  <si>
    <t>地上</t>
  </si>
  <si>
    <t>底商</t>
  </si>
  <si>
    <t>体育设施</t>
  </si>
  <si>
    <t>体育设施</t>
    <phoneticPr fontId="14" type="noConversion"/>
  </si>
  <si>
    <t>教育培训</t>
  </si>
  <si>
    <t>教育培训</t>
    <phoneticPr fontId="14" type="noConversion"/>
  </si>
  <si>
    <t>冰场</t>
  </si>
  <si>
    <t>冰场</t>
    <phoneticPr fontId="14" type="noConversion"/>
  </si>
  <si>
    <t>地下</t>
  </si>
  <si>
    <t>车库</t>
  </si>
  <si>
    <t>商业</t>
    <phoneticPr fontId="7" type="noConversion"/>
  </si>
  <si>
    <t>体育设施</t>
    <phoneticPr fontId="7" type="noConversion"/>
  </si>
  <si>
    <t>教育培训</t>
    <phoneticPr fontId="7" type="noConversion"/>
  </si>
  <si>
    <t>冰场</t>
    <phoneticPr fontId="7" type="noConversion"/>
  </si>
  <si>
    <t>车库</t>
    <phoneticPr fontId="7" type="noConversion"/>
  </si>
  <si>
    <t>独立商业</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</si>
  <si>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</si>
  <si>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</si>
  <si>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</si>
  <si>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</si>
  <si>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</si>
  <si>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</si>
  <si>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</si>
  <si>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</si>
  <si>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</si>
  <si>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</si>
  <si>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</si>
  <si>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</si>
  <si>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</si>
  <si>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</si>
  <si>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</si>
  <si>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</si>
  <si>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</si>
  <si>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</si>
  <si>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</si>
  <si>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</si>
  <si>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</si>
  <si>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</si>
  <si>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</si>
  <si>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</si>
  <si>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</si>
  <si>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</si>
  <si>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</si>
  <si>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</si>
  <si>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</si>
  <si>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</si>
  <si>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</si>
  <si>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</si>
  <si>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</si>
  <si>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</si>
  <si>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</si>
  <si>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</si>
  <si>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</si>
  <si>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</si>
  <si>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</si>
  <si>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</si>
  <si>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</si>
  <si>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</si>
  <si>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</si>
  <si>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北京市丰台区丽泽金融商务区南区F-22、F-23地块F3其他类多功能用地</t>
  </si>
  <si>
    <t>商业/办公用地</t>
  </si>
  <si>
    <t>丰台区</t>
  </si>
  <si>
    <t>丰台区卢沟桥乡</t>
  </si>
  <si>
    <t>招标</t>
  </si>
  <si>
    <t>京土整储招(丰)[2018]014号</t>
  </si>
  <si>
    <t>F3其他类多功能用地</t>
  </si>
  <si>
    <t>≤40%</t>
  </si>
  <si>
    <t>≤150</t>
  </si>
  <si>
    <t>含租赁用地</t>
  </si>
  <si>
    <t>未开工</t>
  </si>
  <si>
    <t>2018-05-31</t>
  </si>
  <si>
    <t>2018-07-06</t>
  </si>
  <si>
    <t>已成交</t>
  </si>
  <si>
    <t>中证机构间报价系统股份有限公司和中国银河证券股份有限公司联合体</t>
  </si>
  <si>
    <t>商业40年、办公50年</t>
  </si>
  <si>
    <t>北京市丰台区丽泽金融商务区南区D-02地块B4综合性商业金融服务业用地</t>
  </si>
  <si>
    <t>挂牌</t>
  </si>
  <si>
    <t>京土整储挂(丰)[2017]085号</t>
  </si>
  <si>
    <t>B4综合性商业金融服务业用地</t>
  </si>
  <si>
    <t>≤180</t>
  </si>
  <si>
    <t>开工中</t>
  </si>
  <si>
    <t>2017-10-11</t>
  </si>
  <si>
    <t>2017-10-31</t>
  </si>
  <si>
    <t>2017-11-14</t>
  </si>
  <si>
    <t>华夏人寿保险股份有限公司北京分公司</t>
  </si>
  <si>
    <t>丰台区丽泽金融商务区南区D-07、D-08地块</t>
  </si>
  <si>
    <t>京土整储挂(丰)[2017]035号</t>
  </si>
  <si>
    <t>2017-04-14</t>
  </si>
  <si>
    <t>2017-05-04</t>
  </si>
  <si>
    <t>2017-05-18</t>
  </si>
  <si>
    <t>北京润置商业运营管理有限公司、北京首都开发股份有限公司、北京宸茂置业有限公司和北京金唐天润传媒发展有限公司联合体</t>
  </si>
  <si>
    <t>商业40年办公50年</t>
  </si>
  <si>
    <t>丰台区花乡四合庄(中关村科技园丰台园东区三期)1516-28-B地块</t>
  </si>
  <si>
    <t>丰台区花乡四合庄</t>
  </si>
  <si>
    <t>京土整储挂(丰)[2015]038号</t>
  </si>
  <si>
    <t>已完工</t>
  </si>
  <si>
    <t>2015-09-11</t>
  </si>
  <si>
    <t>2015-10-08</t>
  </si>
  <si>
    <t>2015-10-21</t>
  </si>
  <si>
    <t>宁波方兴投资咨询有限公司和碧桂园(北京)投资有限公司联合体</t>
  </si>
  <si>
    <t>丰台区花乡四合庄(中关村科技园丰台园东区三期)1516-28-A地块</t>
  </si>
  <si>
    <t>京土整储挂(丰)[2015]037号</t>
  </si>
  <si>
    <t>丰台区花乡四合庄(中关村科技园丰台园东区三期)1516-12-B地块</t>
  </si>
  <si>
    <t>京土整储挂(丰)[2015]036号</t>
  </si>
  <si>
    <t>2015-09-10</t>
  </si>
  <si>
    <t>2015-09-30</t>
  </si>
  <si>
    <t>2015-10-20</t>
  </si>
  <si>
    <t>中铁置业集团有限公司和中铁投资集团有限公司联合体</t>
  </si>
  <si>
    <t>丰台区花乡四合庄(中关村科技园丰台园东区三期)1516-12-A地块</t>
  </si>
  <si>
    <t>京土整储挂(丰)[2015]025号</t>
  </si>
  <si>
    <t>2015-06-11</t>
  </si>
  <si>
    <t>2015-07-01</t>
  </si>
  <si>
    <t>2015-07-15</t>
  </si>
  <si>
    <t>北京金丰融晟投资管理有限公司</t>
  </si>
  <si>
    <t>商业40年、综合50年</t>
  </si>
  <si>
    <t>丰台区丽泽路E-01、E-05、E-06地块</t>
  </si>
  <si>
    <t>京土整储挂(丰)[2015]015号</t>
  </si>
  <si>
    <t>C2商业金融用地</t>
  </si>
  <si>
    <t>2015-03-23</t>
  </si>
  <si>
    <t>2015-04-13</t>
  </si>
  <si>
    <t>2015-04-27</t>
  </si>
  <si>
    <t>深圳市平轩投资管理有限公司</t>
  </si>
  <si>
    <t>丰台区花乡四合庄(中关村科技园丰台园东区三期)1516-21地块</t>
  </si>
  <si>
    <t>京土整储招(丰)[2015]011号</t>
  </si>
  <si>
    <t>2015-01-15</t>
  </si>
  <si>
    <t>2015-02-09</t>
  </si>
  <si>
    <t>大连万达商业地产股份有限公司</t>
  </si>
  <si>
    <t>丰台区丽泽金融商务区D-10地块F3其他类多功能用地</t>
  </si>
  <si>
    <t>京土整储挂(丰)[2014]089号</t>
  </si>
  <si>
    <t>2014-12-12</t>
  </si>
  <si>
    <t>2015-01-04</t>
  </si>
  <si>
    <t>2015-01-16</t>
  </si>
  <si>
    <t>北京金鹏天润置业投资管理公司、北京金锐翔铖投资有限公司、北京市菜户营科工贸集团、北京马连道投资管理公司和凤凰利华(北京)投资基金管理有限公司联合体</t>
  </si>
  <si>
    <t>丰台区樊家村危改项目3号地零售商业用地</t>
  </si>
  <si>
    <t>丰台区花乡樊家村</t>
  </si>
  <si>
    <t>京土整储挂(丰)[2014]081号</t>
  </si>
  <si>
    <t>B11零售商业用地</t>
  </si>
  <si>
    <t>2014-11-26</t>
  </si>
  <si>
    <t>2014-12-16</t>
  </si>
  <si>
    <t>2014-12-30</t>
  </si>
  <si>
    <t>北京龙湖中佰置业有限公司和北京泰瑞恒尚投资有限公司联合体</t>
  </si>
  <si>
    <t>丰台科技园东区三期1516-43号地块C2商业金融用地</t>
  </si>
  <si>
    <t>京土整储挂(丰)[2014]069号</t>
  </si>
  <si>
    <t>2014-09-18</t>
  </si>
  <si>
    <t>2014-10-08</t>
  </si>
  <si>
    <t>2014-10-21</t>
  </si>
  <si>
    <t>东旭光电科技股份有限公司</t>
  </si>
  <si>
    <t>丰台区科技园区东区三期1516-62、63、64、65号地其它类多功能用地</t>
  </si>
  <si>
    <t>京土整储挂(丰)[2014]064号</t>
  </si>
  <si>
    <t>F3其它类多功能用地</t>
  </si>
  <si>
    <t>2014-09-04</t>
  </si>
  <si>
    <t>2014-09-24</t>
  </si>
  <si>
    <t>2014-10-13</t>
  </si>
  <si>
    <t>北京诺城置业有限公司</t>
  </si>
  <si>
    <t>丰台区丽泽金融商务区D-12地块C3文化娱乐用地</t>
  </si>
  <si>
    <t>京土整储挂(丰)[2014]059号</t>
  </si>
  <si>
    <t>C3文化娱乐用地</t>
  </si>
  <si>
    <t>2014-08-01</t>
  </si>
  <si>
    <t>2014-08-21</t>
  </si>
  <si>
    <t>北京市天创房地产开发有限公司</t>
  </si>
  <si>
    <t>丰台区科技园区东区三期1516-51号地商业金融用地</t>
  </si>
  <si>
    <t>丰台区花乡</t>
  </si>
  <si>
    <t>京土整储挂(丰)[2014]011号</t>
  </si>
  <si>
    <t>2014-02-21</t>
  </si>
  <si>
    <t>2014-03-13</t>
  </si>
  <si>
    <t>2014-03-27</t>
  </si>
  <si>
    <t>北京市四合庄兴鹏投资管理中心</t>
  </si>
  <si>
    <t>丰台区丽泽金融商务区E-04地块商业金融用地</t>
  </si>
  <si>
    <t>京土整储招(丰)[2013]076号</t>
  </si>
  <si>
    <t>2013-08-30</t>
  </si>
  <si>
    <t>2013-09-24</t>
  </si>
  <si>
    <t>2013-09-26</t>
  </si>
  <si>
    <t>北京长乾投资管理咨询有限公司和北京国际信托有限公司联合体</t>
  </si>
  <si>
    <t>丰台区卢沟桥乡丽泽金融商务区F-05地块C2商业金融用地</t>
  </si>
  <si>
    <t>京土整储招(丰)[2012]085号</t>
  </si>
  <si>
    <t>2012-12-21</t>
  </si>
  <si>
    <t>2013-01-21</t>
  </si>
  <si>
    <t>首创朝阳房地产开发有限公司</t>
  </si>
  <si>
    <t>丰台区卢沟桥乡丽泽金融商务区F-03地块C2商业金融用地</t>
  </si>
  <si>
    <t>京土整储招(丰)[2012]084号</t>
  </si>
  <si>
    <t>首创朝阳房地产开发有限公司和邦泰克投资有限公司联合体</t>
  </si>
  <si>
    <t>丰台区卢沟桥乡丽泽金融商务区F-02地块C2商业金融用地</t>
  </si>
  <si>
    <t>京土整储招(丰)[2012]083号</t>
  </si>
  <si>
    <t>2013-01-16</t>
  </si>
  <si>
    <t>2013-01-18</t>
  </si>
  <si>
    <t>首创朝阳房地产发展有限公司和菲森国际企业有限公司联合体</t>
  </si>
  <si>
    <t>丰台区王佐镇F3其他类多功能用地A-03、A-04地块</t>
  </si>
  <si>
    <t>丰台王佐镇</t>
  </si>
  <si>
    <t>京土整储招(丰)[2012]039号</t>
  </si>
  <si>
    <t>2012-11-07</t>
  </si>
  <si>
    <t>2012-11-09</t>
  </si>
  <si>
    <t>北京新鸿基盛城置业集团有限公司和北京太阳火文化产业投资有限公司联合体</t>
  </si>
  <si>
    <t>丰台区卢沟桥乡C9地块</t>
  </si>
  <si>
    <t>京土整储挂(丰)[2012]010号</t>
  </si>
  <si>
    <t>商业金融</t>
  </si>
  <si>
    <t>2012-04-01</t>
  </si>
  <si>
    <t>2012-04-18</t>
  </si>
  <si>
    <t>北京金石联合置地房地产开发有限公司</t>
  </si>
  <si>
    <t>商业40年,综合50年</t>
  </si>
  <si>
    <t>北京丰台区卢沟桥乡丽泽金融商务区D-03、D-04地块</t>
  </si>
  <si>
    <t>北京市丰台区卢沟桥乡</t>
  </si>
  <si>
    <t>京土整储招(丰)[2012]006号</t>
  </si>
  <si>
    <t>2012-03-15</t>
  </si>
  <si>
    <t>2012-03-16</t>
  </si>
  <si>
    <t>中国铁路物资股份有限公司</t>
  </si>
  <si>
    <t>北京丰台区卢沟桥乡丽泽金融商务区D-19地块</t>
  </si>
  <si>
    <t>京土整储招(丰)[2012]007号</t>
  </si>
  <si>
    <t>西部矿业集团有限公司</t>
  </si>
  <si>
    <t>北京市丰台区卢沟桥乡丽泽商务区E-08、E-09地块商业金融项目</t>
  </si>
  <si>
    <t>京土整储招(丰)[2011]143号</t>
  </si>
  <si>
    <t>2011-11-30</t>
  </si>
  <si>
    <t>2011-12-01</t>
  </si>
  <si>
    <t>北京通用时代房地产开发有限公司</t>
  </si>
  <si>
    <t>丰台区永外海户屯商业金融项目用地</t>
  </si>
  <si>
    <t>北京市丰台区永外海户屯</t>
  </si>
  <si>
    <t>京土整储招(丰)[2011]127号</t>
  </si>
  <si>
    <t>C2商业金融用地、S1道路用地</t>
  </si>
  <si>
    <t>2011-11-18</t>
  </si>
  <si>
    <t>2011-11-21</t>
  </si>
  <si>
    <t>北京兆泰置地(集团)股份有限公司、翰达国际投资(北京)有限公司和天津虹飞达投资有限公司联合体</t>
  </si>
  <si>
    <t>丰台区卢沟桥乡丽泽商务区E-15地块商业金融项目</t>
  </si>
  <si>
    <t>京土整储招(丰)[2011]122号</t>
  </si>
  <si>
    <t>2011-11-03</t>
  </si>
  <si>
    <t>中华联合保险控股股份有限公司</t>
  </si>
  <si>
    <t>丰台区卢沟桥乡丽泽商务区E-16、E-20、E-21地块商业金融项目</t>
  </si>
  <si>
    <t>京土整储招(丰)[2011]123号</t>
  </si>
  <si>
    <t>上海长城投资控股(集团)有限公司</t>
  </si>
  <si>
    <t>丰台区花乡四合庄1516-15地块商业金融项目用地</t>
  </si>
  <si>
    <t>丰台区花乡四合庄中关村科技园区丰台园内</t>
  </si>
  <si>
    <t>京土整储招(丰)[2011]113号</t>
  </si>
  <si>
    <t>2011-10-12</t>
  </si>
  <si>
    <t>三洲隆徽实业有限公司</t>
  </si>
  <si>
    <t>丰台区花乡樊家村办公项目用地</t>
  </si>
  <si>
    <t>北京市丰台区花乡</t>
  </si>
  <si>
    <t>京土整储挂(丰)[2011]062号</t>
  </si>
  <si>
    <t>配套办公</t>
  </si>
  <si>
    <t>2011-07-04</t>
  </si>
  <si>
    <t>2011-07-18</t>
  </si>
  <si>
    <t>北京樊家村鼎业房地产开发有限公司</t>
  </si>
  <si>
    <t>丰台区花乡四合庄1516-25、27地块商业金融项目用地</t>
  </si>
  <si>
    <t>京土整储挂(丰)[2011]066号</t>
  </si>
  <si>
    <t>北京丰科建房地产开发有限公司</t>
  </si>
  <si>
    <t>丰台区卢沟桥乡丽泽金融商务区E-13、E-14地块</t>
  </si>
  <si>
    <t>丰台区卢沟桥乡丽泽金融商务区内(东至规划路卫强路(丽泽中一路),南至规划路金中都路,西至规划路金中都东路,北至规划路凤凰嘴北路)</t>
  </si>
  <si>
    <t>京土整储挂(丰)[2011]005号</t>
  </si>
  <si>
    <t>C2商业金融</t>
  </si>
  <si>
    <t>2011-02-09</t>
  </si>
  <si>
    <t>2011-03-30</t>
  </si>
  <si>
    <t>内蒙古巨力实业集团有限责任公司和内蒙古汇能集团汇能房地产开发有限公司联合体</t>
  </si>
  <si>
    <t>北京市丰台区东铁匠营顺八条5号用地</t>
  </si>
  <si>
    <t>丰台区东铁匠营顺八条</t>
  </si>
  <si>
    <t>京土整储挂(丰)[2011]011号</t>
  </si>
  <si>
    <t>2011-02-10</t>
  </si>
  <si>
    <t>2011-02-24</t>
  </si>
  <si>
    <t>北京世纪鸿房地产开发有限责任公司</t>
  </si>
  <si>
    <t>商业:40年、综合:50年</t>
  </si>
  <si>
    <t>丰台区卢沟桥乡丽泽商务区E-17地块</t>
  </si>
  <si>
    <t>丰台区卢沟桥乡(东至规划路卫强路西侧建设用地,南至规划路金中都南路北侧绿地,西至规划路金中都东路,北至规划路金中都路)</t>
  </si>
  <si>
    <t>京土整储挂(丰)[2011]006号</t>
  </si>
  <si>
    <t>2011-02-19</t>
  </si>
  <si>
    <t>2011-02-22</t>
  </si>
  <si>
    <t>晋商联合投资股份有限公司和晋商丽泽(天津)股权投资基金合伙企业(有限合伙)联合体</t>
  </si>
  <si>
    <t>丰台区卢沟桥乡丽泽商务区E-18地块</t>
  </si>
  <si>
    <t>丰台区卢沟桥乡(东至规划路卫强路(丽泽中一路),南至规划路金中都南路北侧绿地,西至规划路金中都东路东侧建设用地,北至规划路金中都路)</t>
  </si>
  <si>
    <t>京土整储挂(丰)[2011]007号</t>
  </si>
  <si>
    <t>中国机械设备工程股份有限公司</t>
  </si>
  <si>
    <t>北京市丰台区花乡四合庄1516-19地块C2商业金融项目用地</t>
  </si>
  <si>
    <t>京土整储招(丰)[2010]178号</t>
  </si>
  <si>
    <t>2011-01-24</t>
  </si>
  <si>
    <t>2011-01-27</t>
  </si>
  <si>
    <t>中国华电工程(集团)有限公司</t>
  </si>
  <si>
    <t>综合50年,商业40年</t>
  </si>
  <si>
    <t>丰台区花乡四合庄1516-16、18地块C2商业金融项目用地</t>
  </si>
  <si>
    <t>丰台区花乡四合庄(东至国际汽车博览中心东路;西至国际汽车博览中心西路;南至五圈路;北至南梗村一号路)</t>
  </si>
  <si>
    <t>京土整储招(丰)[2010]180号</t>
  </si>
  <si>
    <t>C2商业金融项目用地</t>
  </si>
  <si>
    <t>中铁建工集团有限公司、中铁置业集团有限公司和北京中铁华升房地产开发有限责任公司联合体</t>
  </si>
  <si>
    <t>北京市丰台区花乡四合庄1516-10地块C2商业金融项目用地</t>
  </si>
  <si>
    <t>京土整储招(丰)[2010]179号</t>
  </si>
  <si>
    <t>中铁建工集团有限公司和北京中铁华升房地产开发有限责任公司联合体</t>
  </si>
  <si>
    <t>丰台区和义西里</t>
  </si>
  <si>
    <t>京土整储挂(丰)[2010]138号</t>
  </si>
  <si>
    <t>配套商业服务用地</t>
  </si>
  <si>
    <t>2010-12-09</t>
  </si>
  <si>
    <t>2010-12-20</t>
  </si>
  <si>
    <t>2010-12-23</t>
  </si>
  <si>
    <t>北京盛达华夏房地产开发有限公司</t>
  </si>
  <si>
    <t>40年</t>
  </si>
  <si>
    <t>丰台区永外(原贾家花园住宅小区14号楼地块)商业金融项目</t>
  </si>
  <si>
    <t>丰台区贾家花园15号</t>
  </si>
  <si>
    <t>京土整储挂(丰)[2010]0028号</t>
  </si>
  <si>
    <t>2010-03-03</t>
  </si>
  <si>
    <t>2010-03-17</t>
  </si>
  <si>
    <t>北京政华住宅合作社</t>
  </si>
  <si>
    <t>商业40年</t>
  </si>
  <si>
    <t>丰台区永外果园43号商业金融项目</t>
  </si>
  <si>
    <t>丰台区大红门永外果园43号</t>
  </si>
  <si>
    <t>京土整储挂(丰)[2010]024号</t>
  </si>
  <si>
    <t>商业金融用地</t>
  </si>
  <si>
    <t>北京金泰嘉业房地产开发有限公司</t>
  </si>
  <si>
    <t>丰台区大红门北天津庄商业金融项目用地</t>
  </si>
  <si>
    <t>北京市丰台区大红门北天津庄95号</t>
  </si>
  <si>
    <t>京土整储挂(丰)[2009]119号</t>
  </si>
  <si>
    <t>2009-12-03</t>
  </si>
  <si>
    <t>2009-12-17</t>
  </si>
  <si>
    <t>北京和骏投资有限责任公司</t>
  </si>
  <si>
    <t>丰台区于家坟公建用地</t>
  </si>
  <si>
    <t>丰台区成寿寺于家坟</t>
  </si>
  <si>
    <t>京土整储挂(丰)[2008]001号</t>
  </si>
  <si>
    <t>公共设施</t>
  </si>
  <si>
    <t>2008-02-13</t>
  </si>
  <si>
    <t>2008-02-27</t>
  </si>
  <si>
    <t>北京方恒置业股份有限公司</t>
  </si>
  <si>
    <t>丰台区西马场南里三期商业、办公用地</t>
  </si>
  <si>
    <t>丰台区西马场南里7号</t>
  </si>
  <si>
    <t>京土整储挂(丰)[2007]054号</t>
  </si>
  <si>
    <t>2007-11-19</t>
  </si>
  <si>
    <t>2007-12-03</t>
  </si>
  <si>
    <t>北京力迅房地产开发有限公司</t>
  </si>
  <si>
    <t>北京市丰台区成寿寺南方庄71号商业综合楼项目用地</t>
  </si>
  <si>
    <t>丰台区成寿寺南方庄71号</t>
  </si>
  <si>
    <t>京土整储挂(丰)[2007]047号</t>
  </si>
  <si>
    <t>行政办公</t>
  </si>
  <si>
    <t>2007-10-18</t>
  </si>
  <si>
    <t>2007-11-01</t>
  </si>
  <si>
    <t>李世东</t>
  </si>
  <si>
    <t>综合50年</t>
  </si>
  <si>
    <t>丰台区成寿寺世纪风景住宅小区G2公建用地</t>
  </si>
  <si>
    <t>丰台区成寿寺</t>
  </si>
  <si>
    <t>京土整储挂(丰)[2007]016号</t>
  </si>
  <si>
    <t>公共设施用地</t>
  </si>
  <si>
    <t>2007-04-23</t>
  </si>
  <si>
    <t>2007-05-11</t>
  </si>
  <si>
    <t>北京亚胜置业有限公司</t>
  </si>
  <si>
    <t>丰台区成寿寺世纪风景住宅小区G1公建用地</t>
  </si>
  <si>
    <t>京土整储挂(丰)[2007]015号</t>
  </si>
  <si>
    <t>2007-05-10</t>
  </si>
  <si>
    <t>北京中鑫源房地产开发集团有限公司</t>
  </si>
  <si>
    <t>丰台区马家堡路角门14号</t>
  </si>
  <si>
    <t>京土整储挂(丰)[2006]*032号</t>
  </si>
  <si>
    <t>商用</t>
  </si>
  <si>
    <t>2006-05-31</t>
  </si>
  <si>
    <t>2007-02-15</t>
  </si>
  <si>
    <t>北京东亚信诚国际会展中心有限公司</t>
  </si>
  <si>
    <t>丰台区西管头红星美凯龙建材城项目</t>
  </si>
  <si>
    <t>西三环丽泽桥西南侧</t>
  </si>
  <si>
    <t>京土整储挂(丰)[2006]079*号</t>
  </si>
  <si>
    <t>2006-12-07</t>
  </si>
  <si>
    <t>2006-12-25</t>
  </si>
  <si>
    <t>京尊宝成汽车销售服务有限公司</t>
  </si>
  <si>
    <t>丰台区岳各庄商业金融项目用地(1#、2#、8#楼)</t>
  </si>
  <si>
    <t>丰台区岳各庄</t>
  </si>
  <si>
    <t>京土整储挂(丰)[2006]080号</t>
  </si>
  <si>
    <t>商业金融,可兼容酒店、办公</t>
  </si>
  <si>
    <t>2006-12-22</t>
  </si>
  <si>
    <t>北京京大昆仑房地产开发有限公司</t>
  </si>
  <si>
    <t>丰台区卢沟桥乡三路居村公建用地</t>
  </si>
  <si>
    <t>丰台区卢沟桥乡三路居</t>
  </si>
  <si>
    <t>京土整储挂(丰)[2006]078号</t>
  </si>
  <si>
    <t>2006-11-28</t>
  </si>
  <si>
    <t>2006-12-12</t>
  </si>
  <si>
    <t>北京金鹏苑房地产开发有限公司</t>
  </si>
  <si>
    <t>商业</t>
    <phoneticPr fontId="26" type="noConversion"/>
  </si>
  <si>
    <t>高速公路</t>
    <phoneticPr fontId="26" type="noConversion"/>
  </si>
  <si>
    <t>城市快速路</t>
  </si>
  <si>
    <t>城市快速路</t>
    <phoneticPr fontId="26" type="noConversion"/>
  </si>
  <si>
    <t>城市主干道</t>
  </si>
  <si>
    <t>城市主干道</t>
    <phoneticPr fontId="26" type="noConversion"/>
  </si>
  <si>
    <t>城市次干道</t>
  </si>
  <si>
    <t>城市次干道</t>
    <phoneticPr fontId="26" type="noConversion"/>
  </si>
  <si>
    <t>城市支路</t>
  </si>
  <si>
    <t>城市支路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</si>
  <si>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</si>
  <si>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</si>
  <si>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</si>
  <si>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</si>
  <si>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</si>
  <si>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</si>
  <si>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</si>
  <si>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</si>
  <si>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</si>
  <si>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</si>
  <si>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七通</t>
  </si>
  <si>
    <t>六通</t>
  </si>
  <si>
    <t>五通</t>
  </si>
  <si>
    <t>四通</t>
  </si>
  <si>
    <t>三通</t>
  </si>
  <si>
    <t>好</t>
  </si>
  <si>
    <t>较好</t>
  </si>
  <si>
    <t>一般</t>
  </si>
  <si>
    <t>较差</t>
  </si>
  <si>
    <t>差</t>
  </si>
  <si>
    <t>丰台区</t>
    <phoneticPr fontId="3" type="noConversion"/>
  </si>
  <si>
    <t>40</t>
    <phoneticPr fontId="26" type="noConversion"/>
  </si>
  <si>
    <t>较好</t>
    <phoneticPr fontId="3" type="noConversion"/>
  </si>
  <si>
    <t>七通</t>
    <phoneticPr fontId="3" type="noConversion"/>
  </si>
  <si>
    <t>较好</t>
    <phoneticPr fontId="21" type="noConversion"/>
  </si>
  <si>
    <t>多面临街</t>
  </si>
  <si>
    <t>楼面地价</t>
  </si>
  <si>
    <t>2015-4</t>
    <phoneticPr fontId="26" type="noConversion"/>
  </si>
  <si>
    <t>2015-3</t>
    <phoneticPr fontId="26" type="noConversion"/>
  </si>
  <si>
    <t>双面临街</t>
  </si>
  <si>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</si>
  <si>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</si>
  <si>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t>不动产收益法-商业</t>
  </si>
  <si>
    <t>不动产收益法-体育设施</t>
  </si>
  <si>
    <t>不动产收益法-教育培训</t>
  </si>
  <si>
    <t>不动产收益法-冰场</t>
  </si>
  <si>
    <t>不动产收益法-车库</t>
  </si>
  <si>
    <t>土地（套用方法）</t>
  </si>
  <si>
    <t>押一</t>
  </si>
  <si>
    <t>按租金收入计税</t>
  </si>
  <si>
    <t>钢混</t>
  </si>
  <si>
    <r>
      <rPr>
        <sz val="11"/>
        <color theme="1"/>
        <rFont val="宋体"/>
        <family val="3"/>
        <charset val="134"/>
      </rPr>
      <t>不动产收益法</t>
    </r>
    <r>
      <rPr>
        <sz val="11"/>
        <color theme="1"/>
        <rFont val="Arial"/>
        <family val="2"/>
      </rPr>
      <t>-</t>
    </r>
    <r>
      <rPr>
        <sz val="11"/>
        <color theme="1"/>
        <rFont val="宋体"/>
        <family val="3"/>
        <charset val="134"/>
      </rPr>
      <t>体育设施</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</si>
  <si>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教育培训</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</si>
  <si>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冰场</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</si>
  <si>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</si>
  <si>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已部分缴纳</t>
  </si>
  <si>
    <t>比较法-住宅、综合</t>
  </si>
  <si>
    <t>剩余法-待开发</t>
  </si>
  <si>
    <t>项目全部</t>
  </si>
  <si>
    <t>土地</t>
  </si>
  <si>
    <t>自定义</t>
  </si>
  <si>
    <t>吴薇</t>
  </si>
  <si>
    <t>2018-1-0742-P01DYGJ1</t>
    <phoneticPr fontId="6" type="noConversion"/>
  </si>
  <si>
    <t>需要做个基准地价计算地下补交政府土地收益及契税</t>
    <phoneticPr fontId="9" type="noConversion"/>
  </si>
  <si>
    <t>商业、办公</t>
  </si>
  <si>
    <t>商业、办公</t>
    <phoneticPr fontId="26" type="noConversion"/>
  </si>
  <si>
    <t>地下商业</t>
  </si>
  <si>
    <t>地下商业</t>
    <phoneticPr fontId="14" type="noConversion"/>
  </si>
  <si>
    <t>地下商业</t>
    <phoneticPr fontId="7" type="noConversion"/>
  </si>
  <si>
    <t>地下商业</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</si>
  <si>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地下商业</t>
    </r>
    <phoneticPr fontId="14" type="noConversion"/>
  </si>
  <si>
    <t>不动产收益法-地下商业</t>
  </si>
  <si>
    <t>商务金融用地（商业类）</t>
  </si>
  <si>
    <t>不临58条商业街</t>
  </si>
  <si>
    <t>七通一平</t>
  </si>
  <si>
    <t>按公示增长率计算</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</si>
</sst>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50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78" fontId="81" fillId="0" borderId="2" xfId="2" applyNumberFormat="1" applyFont="1" applyFill="1" applyBorder="1" applyAlignment="1" applyProtection="1">
      <alignment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147" fillId="0" borderId="0" xfId="0" applyFont="1" applyAlignment="1"/>
    <xf numFmtId="0" fontId="71" fillId="10" borderId="12" xfId="0" applyFont="1" applyFill="1" applyBorder="1" applyAlignment="1" applyProtection="1">
      <alignment horizontal="center" vertical="center"/>
      <protection locked="0"/>
    </xf>
    <xf numFmtId="0" fontId="153" fillId="6" borderId="30" xfId="0" applyNumberFormat="1" applyFont="1" applyFill="1" applyBorder="1" applyAlignment="1" applyProtection="1">
      <alignment horizontal="center" vertical="center" wrapText="1"/>
      <protection locked="0"/>
    </xf>
    <xf numFmtId="0" fontId="153" fillId="6" borderId="7" xfId="0" applyNumberFormat="1" applyFont="1" applyFill="1" applyBorder="1" applyAlignment="1" applyProtection="1">
      <alignment horizontal="center" vertical="center" wrapText="1"/>
    </xf>
    <xf numFmtId="0" fontId="153" fillId="6" borderId="51" xfId="0" applyNumberFormat="1"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211" fillId="6" borderId="0" xfId="0" applyFont="1" applyFill="1" applyBorder="1" applyAlignment="1" applyProtection="1">
      <alignment horizontal="center" vertical="center" wrapText="1"/>
      <protection locked="0"/>
    </xf>
    <xf numFmtId="0" fontId="82" fillId="5" borderId="0" xfId="0" applyFont="1" applyFill="1" applyAlignment="1" applyProtection="1">
      <alignment vertical="center"/>
      <protection locked="0"/>
    </xf>
    <xf numFmtId="0" fontId="203" fillId="0" borderId="11" xfId="0" applyFont="1" applyBorder="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7" fillId="0" borderId="43"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9" fillId="8" borderId="11" xfId="0" applyFont="1" applyFill="1" applyBorder="1" applyAlignment="1" applyProtection="1">
      <alignment vertical="center"/>
      <protection locked="0"/>
    </xf>
    <xf numFmtId="182" fontId="149" fillId="8" borderId="2" xfId="0" applyNumberFormat="1" applyFont="1" applyFill="1" applyBorder="1" applyAlignment="1" applyProtection="1">
      <alignment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0">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636725</xdr:colOff>
      <xdr:row>34</xdr:row>
      <xdr:rowOff>75462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609525" cy="5904762"/>
        </a:xfrm>
        <a:prstGeom prst="rect">
          <a:avLst/>
        </a:prstGeom>
      </xdr:spPr>
    </xdr:pic>
    <xdr:clientData/>
  </xdr:twoCellAnchor>
  <xdr:twoCellAnchor editAs="oneCell">
    <xdr:from>
      <xdr:col>0</xdr:col>
      <xdr:colOff>0</xdr:colOff>
      <xdr:row>35</xdr:row>
      <xdr:rowOff>0</xdr:rowOff>
    </xdr:from>
    <xdr:to>
      <xdr:col>17</xdr:col>
      <xdr:colOff>246163</xdr:colOff>
      <xdr:row>59</xdr:row>
      <xdr:rowOff>123296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000750"/>
          <a:ext cx="11904763" cy="4238096"/>
        </a:xfrm>
        <a:prstGeom prst="rect">
          <a:avLst/>
        </a:prstGeom>
      </xdr:spPr>
    </xdr:pic>
    <xdr:clientData/>
  </xdr:twoCellAnchor>
  <xdr:twoCellAnchor editAs="oneCell">
    <xdr:from>
      <xdr:col>2</xdr:col>
      <xdr:colOff>0</xdr:colOff>
      <xdr:row>60</xdr:row>
      <xdr:rowOff>0</xdr:rowOff>
    </xdr:from>
    <xdr:to>
      <xdr:col>19</xdr:col>
      <xdr:colOff>8067</xdr:colOff>
      <xdr:row>73</xdr:row>
      <xdr:rowOff>75912</xdr:rowOff>
    </xdr:to>
    <xdr:pic>
      <xdr:nvPicPr>
        <xdr:cNvPr id="4" name="图片 3"/>
        <xdr:cNvPicPr>
          <a:picLocks noChangeAspect="1"/>
        </xdr:cNvPicPr>
      </xdr:nvPicPr>
      <xdr:blipFill>
        <a:blip xmlns:r="http://schemas.openxmlformats.org/officeDocument/2006/relationships" r:embed="rId3"/>
        <a:stretch>
          <a:fillRect/>
        </a:stretch>
      </xdr:blipFill>
      <xdr:spPr>
        <a:xfrm>
          <a:off x="1371600" y="10287000"/>
          <a:ext cx="11666667" cy="2304762"/>
        </a:xfrm>
        <a:prstGeom prst="rect">
          <a:avLst/>
        </a:prstGeom>
      </xdr:spPr>
    </xdr:pic>
    <xdr:clientData/>
  </xdr:twoCellAnchor>
  <xdr:twoCellAnchor editAs="oneCell">
    <xdr:from>
      <xdr:col>2</xdr:col>
      <xdr:colOff>0</xdr:colOff>
      <xdr:row>74</xdr:row>
      <xdr:rowOff>0</xdr:rowOff>
    </xdr:from>
    <xdr:to>
      <xdr:col>18</xdr:col>
      <xdr:colOff>627201</xdr:colOff>
      <xdr:row>109</xdr:row>
      <xdr:rowOff>104012</xdr:rowOff>
    </xdr:to>
    <xdr:pic>
      <xdr:nvPicPr>
        <xdr:cNvPr id="5" name="图片 4"/>
        <xdr:cNvPicPr>
          <a:picLocks noChangeAspect="1"/>
        </xdr:cNvPicPr>
      </xdr:nvPicPr>
      <xdr:blipFill>
        <a:blip xmlns:r="http://schemas.openxmlformats.org/officeDocument/2006/relationships" r:embed="rId4"/>
        <a:stretch>
          <a:fillRect/>
        </a:stretch>
      </xdr:blipFill>
      <xdr:spPr>
        <a:xfrm>
          <a:off x="1371600" y="12687300"/>
          <a:ext cx="11600001" cy="6104762"/>
        </a:xfrm>
        <a:prstGeom prst="rect">
          <a:avLst/>
        </a:prstGeom>
      </xdr:spPr>
    </xdr:pic>
    <xdr:clientData/>
  </xdr:twoCellAnchor>
  <xdr:twoCellAnchor editAs="oneCell">
    <xdr:from>
      <xdr:col>2</xdr:col>
      <xdr:colOff>0</xdr:colOff>
      <xdr:row>110</xdr:row>
      <xdr:rowOff>0</xdr:rowOff>
    </xdr:from>
    <xdr:to>
      <xdr:col>19</xdr:col>
      <xdr:colOff>8067</xdr:colOff>
      <xdr:row>147</xdr:row>
      <xdr:rowOff>123017</xdr:rowOff>
    </xdr:to>
    <xdr:pic>
      <xdr:nvPicPr>
        <xdr:cNvPr id="6" name="图片 5"/>
        <xdr:cNvPicPr>
          <a:picLocks noChangeAspect="1"/>
        </xdr:cNvPicPr>
      </xdr:nvPicPr>
      <xdr:blipFill>
        <a:blip xmlns:r="http://schemas.openxmlformats.org/officeDocument/2006/relationships" r:embed="rId5"/>
        <a:stretch>
          <a:fillRect/>
        </a:stretch>
      </xdr:blipFill>
      <xdr:spPr>
        <a:xfrm>
          <a:off x="1371600" y="18859500"/>
          <a:ext cx="11666667" cy="64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7" zoomScale="80" zoomScaleNormal="80" workbookViewId="0">
      <selection activeCell="B7" sqref="B1:B1048576"/>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2655</v>
      </c>
      <c r="B1" s="2892" t="s">
        <v>2752</v>
      </c>
    </row>
    <row r="2" spans="1:55" s="2896" customFormat="1" ht="15" thickTop="1">
      <c r="A2" s="2894" t="s">
        <v>2659</v>
      </c>
      <c r="B2" s="2895" t="str">
        <f>'预评函-封皮'!B37</f>
        <v>北京市丰台区西三环南路16号商务金融用地出让国有建设用地使用权出让国有建设用地使用权抵押价格预评估</v>
      </c>
      <c r="AX2" s="2897"/>
      <c r="AZ2" s="2897"/>
      <c r="BA2" s="2898"/>
      <c r="BC2" s="2898"/>
    </row>
    <row r="3" spans="1:55" s="2899" customFormat="1">
      <c r="A3" s="2878" t="s">
        <v>2660</v>
      </c>
      <c r="B3" s="2881" t="str">
        <f>'预评函-封皮'!B40</f>
        <v>北京精图科工贸集团</v>
      </c>
    </row>
    <row r="4" spans="1:55" s="2880" customFormat="1">
      <c r="A4" s="2878" t="s">
        <v>2661</v>
      </c>
      <c r="B4" s="2879" t="str">
        <f>'预评函-封皮'!B46</f>
        <v>吴薇、赵雯</v>
      </c>
      <c r="N4" s="2880" t="str">
        <f>'预评函-1'!A28</f>
        <v/>
      </c>
    </row>
    <row r="5" spans="1:55" s="2893" customFormat="1" ht="15" thickBot="1">
      <c r="A5" s="2900" t="s">
        <v>2662</v>
      </c>
      <c r="B5" s="2901" t="str">
        <f>'预评函-封皮'!B49</f>
        <v>康正预评字2018-1-0742-P01DYGJ1号</v>
      </c>
    </row>
    <row r="6" spans="1:55" s="2902" customFormat="1" ht="15" thickTop="1">
      <c r="A6" s="2894" t="s">
        <v>2704</v>
      </c>
      <c r="B6" s="2895" t="str">
        <f>'预评函-1'!A4</f>
        <v>受贵公司委托，我公司对北京市丰台区西三环南路16号商务金融用地出让国有建设用地使用权出让国有建设用地使用权抵押价格进行了预评估。</v>
      </c>
      <c r="AM6" s="2903"/>
    </row>
    <row r="7" spans="1:55" s="2877" customFormat="1">
      <c r="A7" s="2878" t="s">
        <v>2656</v>
      </c>
      <c r="B7" s="2879" t="str">
        <f>'预评函-1'!A6</f>
        <v>估价对象为北京精图科工贸集团使用的、位于北京市丰台区西三环南路16号商务金融用地出让国有建设用地使用权出让国有建设用地使用权。根据《不动产权证书》[京（2017）丰不动产权第0000229号]，估价对象（分摊）出让国有建设用地使用权面积为20439.42平方米。根据《建设工程规划许可证》[]、《出让合同》[]，估价对象规划建筑面积为51512平方米。</v>
      </c>
    </row>
    <row r="8" spans="1:55" s="2877" customFormat="1">
      <c r="A8" s="2878" t="s">
        <v>2657</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2707</v>
      </c>
      <c r="B9" s="2879" t="str">
        <f>'预评函-1'!A9</f>
        <v>委托估价方在向金融机构（农商行）办理贷款手续过程中，特委托北京康正宏基房地产评估有限公司对估价对象进行评估。本次评估为确定标的物之抵押贷款额度提供参考依据而评估出让国有建设用地使用权抵押价格。</v>
      </c>
    </row>
    <row r="10" spans="1:55" s="2877" customFormat="1">
      <c r="A10" s="2878" t="s">
        <v>2658</v>
      </c>
      <c r="B10" s="2879" t="str">
        <f>'预评函-1'!A11</f>
        <v>2018年10月29日（评估专业人员勘察现场之日）</v>
      </c>
    </row>
    <row r="11" spans="1:55" s="2877" customFormat="1">
      <c r="A11" s="2878" t="s">
        <v>2664</v>
      </c>
      <c r="B11" s="2879" t="str">
        <f>'预评函-1'!A14</f>
        <v>根据《不动产权证书》[京（2017）丰不动产权第0000229号]，本次评估估价对象证载（地类）用途为商务金融用地。</v>
      </c>
    </row>
    <row r="12" spans="1:55" s="2877" customFormat="1">
      <c r="A12" s="2878" t="s">
        <v>2665</v>
      </c>
      <c r="B12" s="2879" t="str">
        <f>'预评函-1'!A15</f>
        <v>本次评估设定用途即为证载用途商业。</v>
      </c>
    </row>
    <row r="13" spans="1:55" s="2877" customFormat="1">
      <c r="A13" s="2878" t="s">
        <v>2666</v>
      </c>
      <c r="B13" s="2879" t="str">
        <f>'预评函-1'!A17</f>
        <v>根据委托估价方介绍及评估专业人员现场勘查，本次评估估价对象实际土地开发程度为红线外市政基础设施达“七通”（即通路、通电、通讯、通上水、通下水、通热、燃气）、宗地红线内场地平整。</v>
      </c>
    </row>
    <row r="14" spans="1:55" s="2877" customFormat="1">
      <c r="A14" s="2878" t="s">
        <v>2667</v>
      </c>
      <c r="B14" s="2879" t="str">
        <f>'预评函-1'!A18</f>
        <v>本次评估设定土地开发程度为红线外市政基础设施达“七通”、宗地红线内场地平整。</v>
      </c>
    </row>
    <row r="15" spans="1:55" s="2877" customFormat="1">
      <c r="A15" s="2878" t="s">
        <v>2663</v>
      </c>
      <c r="B15" s="2879" t="str">
        <f>'预评函-1'!A20</f>
        <v>根据《不动产权证书》[京（2017）丰不动产权第0000229号]，估价对象（分摊）出让国有建设用地使用权面积为20439.42平方米。根据《建设工程规划许可证》[]、《出让合同》[]，估价对象规划建筑面积为51512平方米。</v>
      </c>
    </row>
    <row r="16" spans="1:55" s="2877" customFormat="1">
      <c r="A16" s="2878" t="s">
        <v>2668</v>
      </c>
      <c r="B16" s="2879" t="str">
        <f>'预评函-1'!A22</f>
        <v>本次估价对象为出让国有建设用地使用权，《不动产权证书》[京（2017）丰不动产权第0000229号]证载土地终止日期为住宅2087年5月21日、商业2057年5月21日、办公2067年5月21日、车库2067年5月21日。截至估价期日，出让国有建设用地使用权剩余土地使用年限为商业38.58年。</v>
      </c>
    </row>
    <row r="17" spans="1:48" s="2877" customFormat="1">
      <c r="A17" s="2878" t="s">
        <v>2669</v>
      </c>
      <c r="B17" s="2879" t="str">
        <f>'预评函-1'!A23</f>
        <v>本次评估设定估价对象剩余土地使用年限为商业38.58年。</v>
      </c>
    </row>
    <row r="18" spans="1:48" s="2877" customFormat="1">
      <c r="A18" s="2878" t="s">
        <v>2670</v>
      </c>
      <c r="B18" s="2879" t="str">
        <f>'预评函-1'!A25</f>
        <v>本次估价的“出让国有建设用地使用权价格”是指在估价对象土地所有权为国家所有，使用权性质为出让，在公开市场条件下、于估价期日2018年10月29日，在规划利用条件下、设定土地开发程度为红线外“七通”、宗地内场地平整，设定用途为商业，剩余土地使用年限为商业38.58年的出让国有建设用地使用权价格。</v>
      </c>
    </row>
    <row r="19" spans="1:48" s="2877" customFormat="1">
      <c r="A19" s="2878" t="s">
        <v>2671</v>
      </c>
      <c r="B19" s="2879" t="str">
        <f>'预评函-1'!A26</f>
        <v>本次估价的“抵押价格”是指估价对象在估价期日的“出让国有建设用地使用权价格”扣减估价师于估价期日所知悉的法定优先受偿款后的余额。</v>
      </c>
    </row>
    <row r="20" spans="1:48" s="2877" customFormat="1">
      <c r="A20" s="2878" t="s">
        <v>2672</v>
      </c>
      <c r="B20" s="287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3" customFormat="1" ht="15" thickBot="1">
      <c r="A21" s="2900" t="s">
        <v>2673</v>
      </c>
      <c r="B21" s="2901" t="str">
        <f>'预评函-1'!A28</f>
        <v/>
      </c>
    </row>
    <row r="22" spans="1:48" ht="15" thickTop="1">
      <c r="A22" s="2889" t="s">
        <v>2674</v>
      </c>
      <c r="B22" s="28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8" t="s">
        <v>2675</v>
      </c>
      <c r="B23" s="2879" t="str">
        <f>'预评函-2'!K2</f>
        <v>估价期日：2018年10月29日</v>
      </c>
    </row>
    <row r="24" spans="1:48">
      <c r="A24" s="2878" t="s">
        <v>2676</v>
      </c>
      <c r="B24" s="2879" t="str">
        <f>'预评函-2'!R2</f>
        <v>估价期日的国有建设用地使用权性质：出让</v>
      </c>
    </row>
    <row r="25" spans="1:48">
      <c r="A25" s="2878" t="s">
        <v>2732</v>
      </c>
      <c r="B25" s="2879" t="str">
        <f>'预评函-2'!A3</f>
        <v>估价期日土地使用者</v>
      </c>
    </row>
    <row r="26" spans="1:48">
      <c r="A26" s="2878" t="s">
        <v>2708</v>
      </c>
      <c r="B26" s="2879" t="str">
        <f>'预评函-2'!A5</f>
        <v>中信开发</v>
      </c>
    </row>
    <row r="27" spans="1:48">
      <c r="A27" s="2878" t="s">
        <v>2733</v>
      </c>
      <c r="B27" s="2879" t="str">
        <f>'预评函-2'!B3</f>
        <v>宗地编号/不动产单元号</v>
      </c>
    </row>
    <row r="28" spans="1:48">
      <c r="A28" s="2878" t="s">
        <v>2709</v>
      </c>
      <c r="B28" s="2879" t="str">
        <f>'预评函-2'!B5</f>
        <v>11111111111</v>
      </c>
    </row>
    <row r="29" spans="1:48">
      <c r="A29" s="2878" t="s">
        <v>2735</v>
      </c>
      <c r="B29" s="2879">
        <f>'预评函-2'!C5</f>
        <v>22</v>
      </c>
    </row>
    <row r="30" spans="1:48">
      <c r="A30" s="2878" t="s">
        <v>2736</v>
      </c>
      <c r="B30" s="2879" t="str">
        <f>'预评函-2'!D3</f>
        <v>土地使用证编号/不动产权证书编号</v>
      </c>
    </row>
    <row r="31" spans="1:48">
      <c r="A31" s="2878" t="s">
        <v>2710</v>
      </c>
      <c r="B31" s="2879" t="str">
        <f>'预评函-2'!D5</f>
        <v>京国土字第111号</v>
      </c>
    </row>
    <row r="32" spans="1:48">
      <c r="A32" s="2878" t="s">
        <v>2711</v>
      </c>
      <c r="B32" s="2879" t="str">
        <f>'预评函-2'!E5</f>
        <v>商务金融用地</v>
      </c>
      <c r="AV32" s="2883"/>
    </row>
    <row r="33" spans="1:2">
      <c r="A33" s="2878" t="s">
        <v>2712</v>
      </c>
      <c r="B33" s="2879">
        <f>'预评函-2'!F5</f>
        <v>258</v>
      </c>
    </row>
    <row r="34" spans="1:2">
      <c r="A34" s="2878" t="s">
        <v>2713</v>
      </c>
      <c r="B34" s="2879" t="str">
        <f>'预评函-2'!G5</f>
        <v>商业</v>
      </c>
    </row>
    <row r="35" spans="1:2">
      <c r="A35" s="2878" t="s">
        <v>2714</v>
      </c>
      <c r="B35" s="2879">
        <f>'预评函-2'!H5</f>
        <v>1.5</v>
      </c>
    </row>
    <row r="36" spans="1:2">
      <c r="A36" s="2878" t="s">
        <v>2715</v>
      </c>
      <c r="B36" s="2879">
        <f>'预评函-2'!I5</f>
        <v>1.5</v>
      </c>
    </row>
    <row r="37" spans="1:2">
      <c r="A37" s="2878" t="s">
        <v>2716</v>
      </c>
      <c r="B37" s="2879">
        <f>'预评函-2'!J5</f>
        <v>1.5</v>
      </c>
    </row>
    <row r="38" spans="1:2">
      <c r="A38" s="2878" t="s">
        <v>2717</v>
      </c>
      <c r="B38" s="2879" t="str">
        <f>'预评函-2'!K5</f>
        <v>红线外七通、宗地红线内场地平整</v>
      </c>
    </row>
    <row r="39" spans="1:2">
      <c r="A39" s="2878" t="s">
        <v>2718</v>
      </c>
      <c r="B39" s="2879" t="str">
        <f>'预评函-2'!L5</f>
        <v>红线外七通、宗地红线内场地平整</v>
      </c>
    </row>
    <row r="40" spans="1:2">
      <c r="A40" s="2878" t="s">
        <v>2737</v>
      </c>
      <c r="B40" s="2879" t="str">
        <f>'预评函-2'!M3</f>
        <v>（剩余）土地使用年限/年</v>
      </c>
    </row>
    <row r="41" spans="1:2">
      <c r="A41" s="2878" t="s">
        <v>2719</v>
      </c>
      <c r="B41" s="2879" t="str">
        <f>'预评函-2'!M5</f>
        <v>商业38.58年</v>
      </c>
    </row>
    <row r="42" spans="1:2">
      <c r="A42" s="2878" t="s">
        <v>2738</v>
      </c>
      <c r="B42" s="2879" t="str">
        <f>'预评函-2'!N3</f>
        <v>（分摊）出让国有建设用地使用权面积/㎡</v>
      </c>
    </row>
    <row r="43" spans="1:2">
      <c r="A43" s="2878" t="s">
        <v>2720</v>
      </c>
      <c r="B43" s="2879">
        <f>'预评函-2'!N5</f>
        <v>20439.419999999998</v>
      </c>
    </row>
    <row r="44" spans="1:2">
      <c r="A44" s="2878" t="s">
        <v>2739</v>
      </c>
      <c r="B44" s="2879" t="str">
        <f>'预评函-2'!O3</f>
        <v>规划建筑面积/㎡</v>
      </c>
    </row>
    <row r="45" spans="1:2">
      <c r="A45" s="2878" t="s">
        <v>2721</v>
      </c>
      <c r="B45" s="2879">
        <f>'预评函-2'!O5</f>
        <v>51512</v>
      </c>
    </row>
    <row r="46" spans="1:2">
      <c r="A46" s="2878" t="s">
        <v>2722</v>
      </c>
      <c r="B46" s="2879">
        <f ca="1">'预评函-2'!P5</f>
        <v>28037</v>
      </c>
    </row>
    <row r="47" spans="1:2">
      <c r="A47" s="2878" t="s">
        <v>2723</v>
      </c>
      <c r="B47" s="2879">
        <f ca="1">'预评函-2'!Q5</f>
        <v>11125</v>
      </c>
    </row>
    <row r="48" spans="1:2">
      <c r="A48" s="2878" t="s">
        <v>2724</v>
      </c>
      <c r="B48" s="2879">
        <f ca="1">'预评函-2'!R5</f>
        <v>57306</v>
      </c>
    </row>
    <row r="49" spans="1:2">
      <c r="A49" s="2878" t="s">
        <v>2740</v>
      </c>
      <c r="B49" s="2879" t="str">
        <f>'预评函-2'!A6</f>
        <v>抵押价格</v>
      </c>
    </row>
    <row r="50" spans="1:2">
      <c r="A50" s="2878" t="s">
        <v>2725</v>
      </c>
      <c r="B50" s="2879">
        <f ca="1">'预评函-2'!R6</f>
        <v>51118</v>
      </c>
    </row>
    <row r="51" spans="1:2">
      <c r="A51" s="2878" t="s">
        <v>2741</v>
      </c>
      <c r="B51" s="2879" t="str">
        <f>'预评函-2'!A7</f>
        <v>——</v>
      </c>
    </row>
    <row r="52" spans="1:2">
      <c r="A52" s="2878" t="s">
        <v>2726</v>
      </c>
      <c r="B52" s="2879" t="str">
        <f>'预评函-2'!R7</f>
        <v>——</v>
      </c>
    </row>
    <row r="53" spans="1:2">
      <c r="A53" s="2878" t="s">
        <v>2742</v>
      </c>
      <c r="B53" s="2879" t="str">
        <f>'预评函-2'!A8</f>
        <v>——</v>
      </c>
    </row>
    <row r="54" spans="1:2" s="2893" customFormat="1" ht="15" thickBot="1">
      <c r="A54" s="2900" t="s">
        <v>2727</v>
      </c>
      <c r="B54" s="2901" t="str">
        <f>'预评函-2'!R8</f>
        <v>——</v>
      </c>
    </row>
    <row r="55" spans="1:2" ht="15" thickTop="1">
      <c r="A55" s="2889" t="s">
        <v>2677</v>
      </c>
      <c r="B55" s="2890" t="str">
        <f>'预评函-3'!A2</f>
        <v>1.权利限制：根据估价对象《不动产权证书》原件、，截至估价期日，估价对象抵押权未见登记。未设定租赁等其他他项权利。</v>
      </c>
    </row>
    <row r="56" spans="1:2">
      <c r="A56" s="2878" t="s">
        <v>2678</v>
      </c>
      <c r="B56" s="2879" t="str">
        <f>'预评函-3'!A3</f>
        <v>2.基础设施条件：估价对象实际开发程度为红线外七通、宗地红线内场地平整；本次评估设定开发程度为红线外七通、宗地红线内场地平整。</v>
      </c>
    </row>
    <row r="57" spans="1:2">
      <c r="A57" s="2878" t="s">
        <v>2679</v>
      </c>
      <c r="B57" s="2879" t="str">
        <f>'预评函-3'!A4</f>
        <v>3.估价规划限制条件：详见《建设工程规划许可证》[]、《出让合同》[]。</v>
      </c>
    </row>
    <row r="58" spans="1:2" s="2893" customFormat="1" ht="15" thickBot="1">
      <c r="A58" s="2900" t="s">
        <v>2728</v>
      </c>
      <c r="B58" s="2901" t="str">
        <f>'预评函-3'!A5</f>
        <v>4.影响价格的其他限定条件：无。</v>
      </c>
    </row>
    <row r="59" spans="1:2" ht="15" thickTop="1">
      <c r="A59" s="2889" t="s">
        <v>2680</v>
      </c>
      <c r="B59" s="2890" t="str">
        <f>'预评函-3'!A8</f>
        <v>2.本《评估意见函》仅供金融机构进行内部审核使用，不做其他目的之用。</v>
      </c>
    </row>
    <row r="60" spans="1:2">
      <c r="A60" s="2878" t="s">
        <v>2681</v>
      </c>
      <c r="B60" s="2879" t="str">
        <f>'预评函-3'!A9</f>
        <v>3.抵押双方在办理抵押登记手续时，应使用本公司出具的正式《土地估价报告》，特提请报告使用者注意。</v>
      </c>
    </row>
    <row r="61" spans="1:2">
      <c r="A61" s="2878" t="s">
        <v>2683</v>
      </c>
      <c r="B61" s="2879" t="str">
        <f>'预评函-3'!A10</f>
        <v>4.估价师所知悉的法定优先受偿款情况为：</v>
      </c>
    </row>
    <row r="62" spans="1:2">
      <c r="A62" s="2878" t="s">
        <v>2682</v>
      </c>
      <c r="B62" s="2879" t="str">
        <f>'预评函-3'!A11</f>
        <v>（1）根据估价对象《不动产权证书》原件、，截至估价期日，估价对象抵押权未见登记。</v>
      </c>
    </row>
    <row r="63" spans="1:2">
      <c r="A63" s="2878" t="s">
        <v>2684</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2685</v>
      </c>
      <c r="B64" s="2884" t="str">
        <f>'预评函-3'!A13</f>
        <v>（3）。</v>
      </c>
    </row>
    <row r="65" spans="1:2">
      <c r="A65" s="2878" t="s">
        <v>2686</v>
      </c>
      <c r="B65" s="2885" t="str">
        <f ca="1">'预评函-3'!A14</f>
        <v>综上，本次评估估价师知悉的法定优先受偿款为人民币6188万元整。</v>
      </c>
    </row>
    <row r="66" spans="1:2">
      <c r="A66" s="2878" t="s">
        <v>2687</v>
      </c>
      <c r="B66" s="288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2688</v>
      </c>
      <c r="B67" s="288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2691</v>
      </c>
      <c r="B68" s="2904">
        <f>'预评函-3'!D30</f>
        <v>42558</v>
      </c>
    </row>
    <row r="69" spans="1:2" ht="15" thickTop="1">
      <c r="A69" s="2889" t="s">
        <v>2689</v>
      </c>
      <c r="B69" s="2890" t="str">
        <f>'预评函-3'!A20</f>
        <v>吴薇</v>
      </c>
    </row>
    <row r="70" spans="1:2">
      <c r="A70" s="2878" t="s">
        <v>2689</v>
      </c>
      <c r="B70" s="2885">
        <f ca="1">'预评函-3'!B20</f>
        <v>2002110125</v>
      </c>
    </row>
    <row r="71" spans="1:2">
      <c r="A71" s="2878" t="s">
        <v>2690</v>
      </c>
      <c r="B71" s="2879" t="str">
        <f>'预评函-3'!A21</f>
        <v>赵雯</v>
      </c>
    </row>
    <row r="72" spans="1:2" s="2893" customFormat="1" ht="15" thickBot="1">
      <c r="A72" s="2900" t="s">
        <v>2690</v>
      </c>
      <c r="B72" s="2906">
        <f ca="1">'预评函-3'!B21</f>
        <v>2011110090</v>
      </c>
    </row>
    <row r="73" spans="1:2" ht="15" thickTop="1">
      <c r="A73" s="2889" t="s">
        <v>2749</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2750</v>
      </c>
      <c r="B74" s="2886" t="str">
        <f>'预评函-1 (储备)'!A18</f>
        <v>由于本次评估估价目的是评估储备国有建设用地使用权的“抵押价格”，因此本次评估设定土地开发程度为红线外市政基础设施达“七通”、宗地红线内场地平整。</v>
      </c>
    </row>
    <row r="75" spans="1:2" s="2893" customFormat="1" ht="15" thickBot="1">
      <c r="A75" s="2900" t="s">
        <v>2751</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2786</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3" zoomScale="90" zoomScaleNormal="100" zoomScaleSheetLayoutView="90" workbookViewId="0">
      <selection activeCell="E32" sqref="E32"/>
    </sheetView>
  </sheetViews>
  <sheetFormatPr defaultColWidth="10" defaultRowHeight="14.25"/>
  <cols>
    <col min="1" max="1" width="15.375" style="1690" customWidth="1"/>
    <col min="2" max="2" width="11.375" style="1690" customWidth="1"/>
    <col min="3" max="3" width="12.625" style="1690" customWidth="1"/>
    <col min="4" max="4" width="12.7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1939</v>
      </c>
      <c r="B1" s="3251" t="str">
        <f>IF(B10="北京市","北京市",C10)&amp;F10&amp;B16&amp;"国有建设用地使用权"&amp;B9&amp;"预评估"</f>
        <v>北京市丰台区西三环南路16号商务金融用地出让国有建设用地使用权出让国有建设用地使用权抵押价格预评估</v>
      </c>
      <c r="C1" s="3252"/>
      <c r="D1" s="3252"/>
      <c r="E1" s="3252"/>
      <c r="F1" s="3252"/>
      <c r="G1" s="3252"/>
      <c r="H1" s="3252"/>
      <c r="I1" s="3253"/>
      <c r="J1" s="1693"/>
      <c r="K1" s="2455" t="str">
        <f>IF(B10="北京市","北京市",C10)&amp;F10&amp;B16&amp;"国有建设用地使用权"&amp;B9</f>
        <v>北京市丰台区西三环南路16号商务金融用地出让国有建设用地使用权出让国有建设用地使用权抵押价格</v>
      </c>
      <c r="L1" s="1722"/>
      <c r="M1" s="1722"/>
      <c r="N1" s="1693"/>
      <c r="O1" s="1694"/>
      <c r="P1" s="1693"/>
      <c r="Q1" s="1693"/>
      <c r="R1" s="1693"/>
      <c r="S1" s="1693"/>
      <c r="T1" s="1693"/>
      <c r="U1" s="1693"/>
    </row>
    <row r="2" spans="1:21">
      <c r="A2" s="1659" t="s">
        <v>1940</v>
      </c>
      <c r="B2" s="1841" t="s">
        <v>3430</v>
      </c>
      <c r="D2" s="1693"/>
      <c r="E2" s="1693"/>
      <c r="F2" s="1693"/>
      <c r="G2" s="1693"/>
      <c r="H2" s="1659"/>
      <c r="I2" s="1694"/>
      <c r="J2" s="1693"/>
      <c r="K2" s="2455" t="str">
        <f>IF(B10="北京市","北京市",C10)&amp;F10&amp;B16&amp;"国有建设用地使用权"</f>
        <v>北京市丰台区西三环南路16号商务金融用地出让国有建设用地使用权出让国有建设用地使用权</v>
      </c>
      <c r="L2" s="1722"/>
      <c r="M2" s="1722"/>
      <c r="N2" s="1693"/>
      <c r="O2" s="1694"/>
      <c r="P2" s="1693"/>
      <c r="Q2" s="1693"/>
      <c r="R2" s="1693"/>
      <c r="S2" s="1693"/>
      <c r="T2" s="1693"/>
      <c r="U2" s="1693"/>
    </row>
    <row r="3" spans="1:21">
      <c r="A3" s="1660" t="s">
        <v>1941</v>
      </c>
      <c r="B3" s="1661">
        <v>43402</v>
      </c>
      <c r="C3" s="1662" t="s">
        <v>1996</v>
      </c>
      <c r="D3" s="1661">
        <f>B3</f>
        <v>43402</v>
      </c>
      <c r="E3" s="1693"/>
      <c r="F3" s="1693"/>
      <c r="G3" s="1693"/>
      <c r="H3" s="1659"/>
      <c r="I3" s="1694"/>
      <c r="J3" s="1693"/>
      <c r="K3" s="1773"/>
      <c r="L3" s="1722"/>
      <c r="M3" s="1722"/>
      <c r="N3" s="1693"/>
      <c r="O3" s="1694"/>
      <c r="P3" s="1693"/>
      <c r="Q3" s="1693"/>
      <c r="R3" s="1693"/>
      <c r="S3" s="1693"/>
      <c r="T3" s="1693"/>
      <c r="U3" s="1693"/>
    </row>
    <row r="4" spans="1:21" ht="15" thickBot="1">
      <c r="A4" s="1663" t="s">
        <v>1942</v>
      </c>
      <c r="B4" s="1842" t="s">
        <v>3429</v>
      </c>
      <c r="C4" s="1845">
        <f ca="1">SUMIF(土地估价师,B4,估价师及机构信息!E3:E24)</f>
        <v>2002110125</v>
      </c>
      <c r="D4" s="1842" t="s">
        <v>2977</v>
      </c>
      <c r="E4" s="1845">
        <f ca="1">SUMIF(土地估价师,D4,估价师及机构信息!E3:E24)</f>
        <v>2011110090</v>
      </c>
      <c r="F4" s="1842" t="s">
        <v>952</v>
      </c>
      <c r="G4" s="1845">
        <f>SUMIF(土地估价师,F4,估价师及机构信息!E3:E24)</f>
        <v>0</v>
      </c>
      <c r="H4" s="1842" t="s">
        <v>952</v>
      </c>
      <c r="I4" s="1845">
        <f>SUMIF(土地估价师,H4,估价师及机构信息!E3:E24)</f>
        <v>0</v>
      </c>
      <c r="J4" s="1693"/>
      <c r="K4" s="2455" t="str">
        <f>IF(AND(F4="——",H4="——"),B4&amp;"、"&amp;D4,IF(AND(F4&lt;&gt;"——",H4="——"),B4&amp;"、"&amp;D4&amp;"、"&amp;F4,B4&amp;"、"&amp;D4&amp;"、"&amp;F4&amp;"、"&amp;H4))</f>
        <v>吴薇、赵雯</v>
      </c>
      <c r="L4" s="1722"/>
      <c r="M4" s="1722"/>
      <c r="N4" s="1693"/>
      <c r="O4" s="1694"/>
      <c r="P4" s="1693"/>
      <c r="Q4" s="1693"/>
      <c r="R4" s="1693"/>
      <c r="S4" s="1693"/>
      <c r="T4" s="1693"/>
      <c r="U4" s="1693"/>
    </row>
    <row r="5" spans="1:21" ht="15" thickTop="1">
      <c r="A5" s="1664" t="s">
        <v>1943</v>
      </c>
      <c r="B5" s="1788" t="s">
        <v>2978</v>
      </c>
      <c r="C5" s="1665"/>
      <c r="D5" s="1666"/>
      <c r="E5" s="1693"/>
      <c r="F5" s="1693"/>
      <c r="G5" s="1693"/>
      <c r="H5" s="1659"/>
      <c r="I5" s="1694"/>
      <c r="J5" s="1693"/>
      <c r="K5" s="1773"/>
      <c r="L5" s="1722"/>
      <c r="M5" s="1722"/>
      <c r="N5" s="1693"/>
      <c r="O5" s="1694"/>
      <c r="P5" s="1693"/>
      <c r="Q5" s="1693"/>
      <c r="R5" s="1693"/>
      <c r="S5" s="1693"/>
      <c r="T5" s="1693"/>
      <c r="U5" s="1693"/>
    </row>
    <row r="6" spans="1:21" ht="26.25">
      <c r="A6" s="1662" t="s">
        <v>2705</v>
      </c>
      <c r="B6" s="1788" t="s">
        <v>2979</v>
      </c>
      <c r="C6" s="1760"/>
      <c r="D6" s="1667"/>
      <c r="E6" s="1693"/>
      <c r="F6" s="1693"/>
      <c r="G6" s="1693"/>
      <c r="H6" s="1659"/>
      <c r="I6" s="1694"/>
      <c r="J6" s="1693"/>
      <c r="K6" s="3056" t="str">
        <f>IF(COUNTIF(B6,"*上海银行*"),"上海银行","")</f>
        <v/>
      </c>
      <c r="L6" s="1722"/>
      <c r="M6" s="1722"/>
      <c r="N6" s="1693"/>
      <c r="O6" s="1694"/>
      <c r="P6" s="1693"/>
      <c r="Q6" s="1693"/>
      <c r="R6" s="1693"/>
      <c r="S6" s="1693"/>
      <c r="T6" s="1693"/>
      <c r="U6" s="1693"/>
    </row>
    <row r="7" spans="1:21">
      <c r="A7" s="1668" t="s">
        <v>2706</v>
      </c>
      <c r="B7" s="1788" t="str">
        <f>B5</f>
        <v>北京精图科工贸集团</v>
      </c>
      <c r="C7" s="1760"/>
      <c r="D7" s="1667"/>
      <c r="E7" s="1693"/>
      <c r="F7" s="1693"/>
      <c r="G7" s="1693"/>
      <c r="H7" s="1659"/>
      <c r="I7" s="1694"/>
      <c r="J7" s="1693"/>
      <c r="K7" s="1773"/>
      <c r="L7" s="1722"/>
      <c r="M7" s="1722"/>
      <c r="N7" s="1693"/>
      <c r="O7" s="1694"/>
      <c r="P7" s="1693"/>
      <c r="Q7" s="1693"/>
      <c r="R7" s="1693"/>
      <c r="S7" s="1693"/>
      <c r="T7" s="1693"/>
      <c r="U7" s="1693"/>
    </row>
    <row r="8" spans="1:21">
      <c r="A8" s="1668" t="s">
        <v>1944</v>
      </c>
      <c r="B8" s="1669" t="s">
        <v>2980</v>
      </c>
      <c r="C8" s="1670"/>
      <c r="D8" s="3257" t="s">
        <v>1946</v>
      </c>
      <c r="E8" s="1843" t="s">
        <v>2981</v>
      </c>
      <c r="F8" s="1671"/>
      <c r="G8" s="1659"/>
      <c r="H8" s="1659"/>
      <c r="I8" s="1706"/>
      <c r="J8" s="1693"/>
      <c r="K8" s="1773"/>
      <c r="L8" s="1722"/>
      <c r="M8" s="1722"/>
      <c r="N8" s="1693"/>
      <c r="O8" s="1694"/>
      <c r="P8" s="1693"/>
      <c r="Q8" s="1693"/>
      <c r="R8" s="1693"/>
      <c r="S8" s="1693"/>
      <c r="T8" s="1693"/>
      <c r="U8" s="1693"/>
    </row>
    <row r="9" spans="1:21" ht="15" thickBot="1">
      <c r="A9" s="1672" t="s">
        <v>1945</v>
      </c>
      <c r="B9" s="1673" t="s">
        <v>2981</v>
      </c>
      <c r="C9" s="1674"/>
      <c r="D9" s="3258"/>
      <c r="E9" s="1673" t="s">
        <v>952</v>
      </c>
      <c r="F9" s="1746"/>
      <c r="G9" s="1741"/>
      <c r="H9" s="1741"/>
      <c r="I9" s="1742"/>
      <c r="J9" s="1693"/>
      <c r="K9" s="1773"/>
      <c r="L9" s="1722"/>
      <c r="M9" s="1722"/>
      <c r="N9" s="1693"/>
      <c r="O9" s="1694"/>
      <c r="P9" s="1693"/>
      <c r="Q9" s="1693"/>
      <c r="R9" s="1693"/>
      <c r="S9" s="1693"/>
      <c r="T9" s="1693"/>
      <c r="U9" s="1693"/>
    </row>
    <row r="10" spans="1:21" ht="15" thickTop="1">
      <c r="A10" s="1743" t="s">
        <v>2000</v>
      </c>
      <c r="B10" s="1718" t="s">
        <v>1947</v>
      </c>
      <c r="C10" s="1675"/>
      <c r="D10" s="1666"/>
      <c r="E10" s="1676" t="s">
        <v>1948</v>
      </c>
      <c r="F10" s="1677" t="s">
        <v>2982</v>
      </c>
      <c r="G10" s="1744"/>
      <c r="H10" s="1745"/>
      <c r="I10" s="1666"/>
      <c r="J10" s="1693"/>
      <c r="K10" s="1773"/>
      <c r="L10" s="1722"/>
      <c r="M10" s="1722"/>
      <c r="N10" s="1693"/>
      <c r="O10" s="1694"/>
      <c r="P10" s="1693"/>
      <c r="Q10" s="1693"/>
      <c r="R10" s="1693"/>
      <c r="S10" s="1693"/>
      <c r="T10" s="1693"/>
      <c r="U10" s="1693"/>
    </row>
    <row r="11" spans="1:21" ht="28.5">
      <c r="A11" s="1696" t="s">
        <v>2001</v>
      </c>
      <c r="B11" s="1697" t="s">
        <v>2983</v>
      </c>
      <c r="C11" s="1678" t="str">
        <f>B5</f>
        <v>北京精图科工贸集团</v>
      </c>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54" t="s">
        <v>2984</v>
      </c>
      <c r="C12" s="3255"/>
      <c r="D12" s="3256"/>
      <c r="E12" s="1698" t="s">
        <v>2062</v>
      </c>
      <c r="F12" s="3272" t="s">
        <v>2988</v>
      </c>
      <c r="G12" s="3273"/>
      <c r="H12" s="3273"/>
      <c r="I12" s="3274"/>
      <c r="J12" s="1693"/>
      <c r="K12" s="1773"/>
      <c r="L12" s="1722"/>
      <c r="M12" s="1722"/>
      <c r="N12" s="1693"/>
      <c r="O12" s="1694"/>
      <c r="P12" s="1693"/>
      <c r="Q12" s="1693"/>
      <c r="R12" s="1693"/>
      <c r="S12" s="1693"/>
      <c r="T12" s="1693"/>
      <c r="U12" s="1693"/>
    </row>
    <row r="13" spans="1:21">
      <c r="A13" s="1686" t="s">
        <v>2060</v>
      </c>
      <c r="B13" s="3254" t="s">
        <v>2986</v>
      </c>
      <c r="C13" s="3255"/>
      <c r="D13" s="3256"/>
      <c r="E13" s="1698" t="s">
        <v>2062</v>
      </c>
      <c r="F13" s="3272" t="s">
        <v>2989</v>
      </c>
      <c r="G13" s="3273"/>
      <c r="H13" s="3273"/>
      <c r="I13" s="3274"/>
      <c r="J13" s="1693"/>
      <c r="K13" s="1773"/>
      <c r="L13" s="1722"/>
      <c r="M13" s="1722"/>
      <c r="N13" s="1693"/>
      <c r="O13" s="1694"/>
      <c r="P13" s="1693"/>
      <c r="Q13" s="1693"/>
      <c r="R13" s="1693"/>
      <c r="S13" s="1693"/>
      <c r="T13" s="1693"/>
      <c r="U13" s="1693"/>
    </row>
    <row r="14" spans="1:21">
      <c r="A14" s="1660" t="s">
        <v>2063</v>
      </c>
      <c r="B14" s="1698"/>
      <c r="C14" s="1844" t="s">
        <v>2990</v>
      </c>
      <c r="D14" s="1732" t="str">
        <f>IF(C14="不一致","是否符合证载地类范围","")</f>
        <v/>
      </c>
      <c r="E14" s="1698"/>
      <c r="F14" s="1789" t="s">
        <v>2992</v>
      </c>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1951</v>
      </c>
      <c r="E15" s="1765" t="s">
        <v>1952</v>
      </c>
      <c r="F15" s="1765" t="s">
        <v>1953</v>
      </c>
      <c r="G15" s="1685" t="s">
        <v>1954</v>
      </c>
      <c r="H15" s="1685" t="s">
        <v>1955</v>
      </c>
      <c r="I15" s="1685" t="s">
        <v>1956</v>
      </c>
      <c r="J15" s="1693"/>
      <c r="K15" s="1773"/>
      <c r="L15" s="1722"/>
      <c r="M15" s="1722"/>
      <c r="N15" s="1693"/>
      <c r="O15" s="1694"/>
      <c r="P15" s="1693"/>
      <c r="Q15" s="1693"/>
      <c r="R15" s="1693"/>
      <c r="S15" s="1693"/>
      <c r="T15" s="1693"/>
      <c r="U15" s="1693"/>
    </row>
    <row r="16" spans="1:21" ht="28.5">
      <c r="A16" s="1679" t="s">
        <v>1949</v>
      </c>
      <c r="B16" s="1680" t="s">
        <v>2991</v>
      </c>
      <c r="C16" s="1698" t="s">
        <v>1950</v>
      </c>
      <c r="D16" s="2646" t="s">
        <v>1951</v>
      </c>
      <c r="E16" s="1721" t="s">
        <v>2985</v>
      </c>
      <c r="F16" s="1721" t="s">
        <v>1678</v>
      </c>
      <c r="G16" s="1721" t="s">
        <v>3015</v>
      </c>
      <c r="H16" s="1721"/>
      <c r="I16" s="1685" t="s">
        <v>1956</v>
      </c>
      <c r="J16" s="1693"/>
      <c r="K16" s="2456" t="str">
        <f>IF(D17="","",D16&amp;TEXT(D17,"yyyy年m月d日;;"))</f>
        <v>住宅2087年5月21日</v>
      </c>
      <c r="L16" s="1698" t="str">
        <f>IF(OR(K16="",M16=""),"","、")</f>
        <v>、</v>
      </c>
      <c r="M16" s="2456" t="str">
        <f>IF(E17="","",E16&amp;TEXT(E17,"yyyy年m月d日;;"))</f>
        <v>商业2057年5月21日</v>
      </c>
      <c r="N16" s="1698" t="str">
        <f>IF(OR(M16="",O16=""),"","、")</f>
        <v>、</v>
      </c>
      <c r="O16" s="2456" t="str">
        <f>IF(F17="","",F16&amp;TEXT(F17,"yyyy年m月d日;;"))</f>
        <v>办公2067年5月21日</v>
      </c>
      <c r="P16" s="1698" t="str">
        <f>IF(OR(O16="",Q16=""),"","、")</f>
        <v>、</v>
      </c>
      <c r="Q16" s="2456" t="str">
        <f>IF(G17="","",G16&amp;TEXT(G17,"yyyy年m月d日;;"))</f>
        <v>车库2067年5月21日</v>
      </c>
      <c r="R16" s="1698" t="str">
        <f>IF(OR(Q16="",S16=""),"","、")</f>
        <v/>
      </c>
      <c r="S16" s="2456" t="str">
        <f>IF(H17="","",H16&amp;TEXT(H17,"yyyy年m月d日;;"))</f>
        <v/>
      </c>
      <c r="T16" s="1698" t="str">
        <f>IF(OR(S16="",U16=""),"","、")</f>
        <v/>
      </c>
      <c r="U16" s="2456" t="str">
        <f>IF(I17="","",I16&amp;TEXT(I17,"yyyy年m月d日;;"))</f>
        <v/>
      </c>
    </row>
    <row r="17" spans="1:21">
      <c r="A17" s="1762"/>
      <c r="B17" s="1681"/>
      <c r="C17" s="1682" t="s">
        <v>1957</v>
      </c>
      <c r="D17" s="1699">
        <v>68443</v>
      </c>
      <c r="E17" s="1699">
        <v>57486</v>
      </c>
      <c r="F17" s="1699">
        <v>61138</v>
      </c>
      <c r="G17" s="1699">
        <v>61138</v>
      </c>
      <c r="H17" s="1699"/>
      <c r="I17" s="1699"/>
      <c r="J17" s="1693"/>
      <c r="K17" s="2455" t="str">
        <f>CONCATENATE(K16,L16,M16,N16,O16,P16,Q16,R16,S16,T16,,U16)</f>
        <v>住宅2087年5月21日、商业2057年5月21日、办公2067年5月21日、车库2067年5月21日</v>
      </c>
      <c r="L17" s="1722"/>
      <c r="M17" s="1722"/>
      <c r="N17" s="1693"/>
      <c r="O17" s="1694"/>
      <c r="P17" s="1693"/>
      <c r="Q17" s="1693"/>
      <c r="R17" s="1693"/>
      <c r="S17" s="1693"/>
      <c r="T17" s="1693"/>
      <c r="U17" s="1693"/>
    </row>
    <row r="18" spans="1:21">
      <c r="A18" s="1762"/>
      <c r="B18" s="1681"/>
      <c r="C18" s="1682" t="s">
        <v>1958</v>
      </c>
      <c r="D18" s="1683">
        <v>70</v>
      </c>
      <c r="E18" s="1683">
        <v>40</v>
      </c>
      <c r="F18" s="1683">
        <v>50</v>
      </c>
      <c r="G18" s="1683">
        <v>50</v>
      </c>
      <c r="H18" s="1683"/>
      <c r="I18" s="1683"/>
      <c r="J18" s="1693"/>
      <c r="K18" s="1773"/>
      <c r="L18" s="1722"/>
      <c r="M18" s="1722"/>
      <c r="N18" s="1693"/>
      <c r="O18" s="1694"/>
      <c r="P18" s="1693"/>
      <c r="Q18" s="1693"/>
      <c r="R18" s="1693"/>
      <c r="S18" s="1693"/>
      <c r="T18" s="1693"/>
      <c r="U18" s="1693"/>
    </row>
    <row r="19" spans="1:21">
      <c r="A19" s="1762"/>
      <c r="B19" s="1681"/>
      <c r="C19" s="1659" t="s">
        <v>1959</v>
      </c>
      <c r="D19" s="1757">
        <f>IF(B16="出让",IF(D17="","",ROUNDDOWN(MIN((D17-$D$3)/365,D18),2)),D18)</f>
        <v>68.599999999999994</v>
      </c>
      <c r="E19" s="1684">
        <f>IF(B16="出让",IF(E17="","",ROUNDDOWN(MIN((E17-$D$3)/365,E18),2)),E18)</f>
        <v>38.58</v>
      </c>
      <c r="F19" s="1684">
        <f>IF(B16="出让",IF(F17="","",ROUNDDOWN(MIN((F17-$D$3)/365,F18),2)),F18)</f>
        <v>48.59</v>
      </c>
      <c r="G19" s="1684">
        <f>IF(B16="出让",IF(G17="","",ROUNDDOWN(MIN((G17-$D$3)/365,G18),2)),G18)</f>
        <v>48.59</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69" t="s">
        <v>2993</v>
      </c>
      <c r="E20" s="3270"/>
      <c r="F20" s="3270"/>
      <c r="G20" s="3270"/>
      <c r="H20" s="3270"/>
      <c r="I20" s="3271"/>
      <c r="J20" s="1693"/>
      <c r="K20" s="1773"/>
      <c r="L20" s="1722"/>
      <c r="M20" s="1722"/>
      <c r="N20" s="1693"/>
      <c r="O20" s="1694"/>
      <c r="P20" s="1693"/>
      <c r="Q20" s="1693"/>
      <c r="R20" s="1693"/>
      <c r="S20" s="1693"/>
      <c r="T20" s="1693"/>
      <c r="U20" s="1693"/>
    </row>
    <row r="21" spans="1:21">
      <c r="A21" s="1762" t="s">
        <v>1960</v>
      </c>
      <c r="B21" s="1763" t="s">
        <v>1961</v>
      </c>
      <c r="C21" s="1758">
        <f>'数据-汇总表'!E3</f>
        <v>51512</v>
      </c>
      <c r="D21" s="1759" t="s">
        <v>1962</v>
      </c>
      <c r="E21" s="3259" t="s">
        <v>1999</v>
      </c>
      <c r="F21" s="3260"/>
      <c r="G21" s="3260"/>
      <c r="H21" s="3260"/>
      <c r="I21" s="3261"/>
      <c r="J21" s="1693"/>
      <c r="K21" s="1773"/>
      <c r="L21" s="1722"/>
      <c r="M21" s="1722"/>
      <c r="N21" s="1693"/>
      <c r="O21" s="1694"/>
      <c r="P21" s="1693"/>
      <c r="Q21" s="1693"/>
      <c r="R21" s="1693"/>
      <c r="S21" s="1693"/>
      <c r="T21" s="1693"/>
      <c r="U21" s="1693"/>
    </row>
    <row r="22" spans="1:21">
      <c r="A22" s="3149" t="s">
        <v>952</v>
      </c>
      <c r="B22" s="1660" t="s">
        <v>1963</v>
      </c>
      <c r="C22" s="1685">
        <f>'数据-汇总表'!D3</f>
        <v>20439.419999999998</v>
      </c>
      <c r="D22" s="1686" t="s">
        <v>1962</v>
      </c>
      <c r="E22" s="3259" t="s">
        <v>2987</v>
      </c>
      <c r="F22" s="3260"/>
      <c r="G22" s="3260"/>
      <c r="H22" s="3260"/>
      <c r="I22" s="3261"/>
      <c r="J22" s="1693"/>
      <c r="K22" s="1773"/>
      <c r="L22" s="1722"/>
      <c r="M22" s="1722"/>
      <c r="N22" s="1693"/>
      <c r="O22" s="1694"/>
      <c r="P22" s="1693"/>
      <c r="Q22" s="1693"/>
      <c r="R22" s="1693"/>
      <c r="S22" s="1693"/>
      <c r="T22" s="1693"/>
      <c r="U22" s="1693"/>
    </row>
    <row r="23" spans="1:21" ht="29.25" thickBot="1">
      <c r="A23" s="1764" t="s">
        <v>1964</v>
      </c>
      <c r="B23" s="1700" t="s">
        <v>1965</v>
      </c>
      <c r="C23" s="1701" t="s">
        <v>2994</v>
      </c>
      <c r="D23" s="1702" t="s">
        <v>1966</v>
      </c>
      <c r="E23" s="1703" t="s">
        <v>2994</v>
      </c>
      <c r="F23" s="1704" t="str">
        <f>IF(AND(C23="是",E23="否"),"是否提供他项权证或相关说明","")</f>
        <v/>
      </c>
      <c r="G23" s="1705" t="s">
        <v>952</v>
      </c>
      <c r="H23" s="1693"/>
      <c r="I23" s="1706"/>
      <c r="J23" s="1693"/>
      <c r="K23" s="1773"/>
      <c r="L23" s="1722"/>
      <c r="M23" s="1722"/>
      <c r="N23" s="1693"/>
      <c r="O23" s="1694"/>
      <c r="P23" s="1693"/>
      <c r="Q23" s="1693"/>
      <c r="R23" s="1693"/>
      <c r="S23" s="1693"/>
      <c r="T23" s="1693"/>
      <c r="U23" s="1693"/>
    </row>
    <row r="24" spans="1:21">
      <c r="A24" s="1749" t="s">
        <v>1967</v>
      </c>
      <c r="B24" s="3262" t="s">
        <v>1968</v>
      </c>
      <c r="C24" s="3263"/>
      <c r="D24" s="3264" t="s">
        <v>1969</v>
      </c>
      <c r="E24" s="3265"/>
      <c r="F24" s="1707" t="s">
        <v>1970</v>
      </c>
      <c r="G24" s="1693"/>
      <c r="H24" s="1693"/>
      <c r="I24" s="1706"/>
      <c r="J24" s="1693"/>
      <c r="K24" s="3250" t="s">
        <v>1971</v>
      </c>
      <c r="L24" s="2457" t="str">
        <f>"根据估价对象"&amp;IF(B26="——",B25&amp;C25,B25&amp;C25&amp;"、"&amp;B26&amp;C26)&amp;"，"&amp;IF(C23="是","截至估价期日，估价对象已设定抵押。","截至估价期日，估价对象抵押权未见登记。")</f>
        <v>根据估价对象《不动产权证书》原件、，截至估价期日，估价对象抵押权未见登记。</v>
      </c>
      <c r="M24" s="1722"/>
      <c r="N24" s="1693"/>
      <c r="O24" s="1694"/>
      <c r="P24" s="1693"/>
      <c r="Q24" s="1693"/>
      <c r="R24" s="1693"/>
      <c r="S24" s="1693"/>
      <c r="T24" s="1693"/>
      <c r="U24" s="1693"/>
    </row>
    <row r="25" spans="1:21" ht="28.5">
      <c r="A25" s="1750"/>
      <c r="B25" s="1747" t="s">
        <v>2326</v>
      </c>
      <c r="C25" s="1708" t="s">
        <v>1972</v>
      </c>
      <c r="D25" s="1709"/>
      <c r="E25" s="1710" t="s">
        <v>952</v>
      </c>
      <c r="F25" s="1711"/>
      <c r="G25" s="1693"/>
      <c r="H25" s="1693"/>
      <c r="I25" s="1706"/>
      <c r="J25" s="1693"/>
      <c r="K25" s="3250"/>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2"/>
      <c r="N25" s="1693"/>
      <c r="O25" s="1694"/>
      <c r="P25" s="1693"/>
      <c r="Q25" s="1693"/>
      <c r="R25" s="1693"/>
      <c r="S25" s="1693"/>
      <c r="T25" s="1693"/>
      <c r="U25" s="1693"/>
    </row>
    <row r="26" spans="1:21" ht="15" thickBot="1">
      <c r="A26" s="1751"/>
      <c r="B26" s="1748"/>
      <c r="C26" s="1708"/>
      <c r="D26" s="1659"/>
      <c r="E26" s="1659"/>
      <c r="F26" s="1687"/>
      <c r="G26" s="1693"/>
      <c r="H26" s="1693"/>
      <c r="I26" s="1706"/>
      <c r="J26" s="1693"/>
      <c r="K26" s="3250"/>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51"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52"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52"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53"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36" t="s">
        <v>2002</v>
      </c>
      <c r="B31" s="1763" t="s">
        <v>2003</v>
      </c>
      <c r="C31" s="3275" t="s">
        <v>2995</v>
      </c>
      <c r="D31" s="3276"/>
      <c r="E31" s="1693"/>
      <c r="F31" s="1693"/>
      <c r="G31" s="1693"/>
      <c r="H31" s="1693"/>
      <c r="I31" s="1706"/>
      <c r="J31" s="1693"/>
      <c r="K31" s="2458"/>
      <c r="L31" s="1693"/>
      <c r="M31" s="1693"/>
      <c r="N31" s="1693"/>
      <c r="O31" s="1693"/>
      <c r="P31" s="1693"/>
      <c r="Q31" s="1693"/>
      <c r="R31" s="1693"/>
      <c r="S31" s="1693"/>
      <c r="T31" s="1693"/>
      <c r="U31" s="1693"/>
    </row>
    <row r="32" spans="1:21">
      <c r="A32" s="3236"/>
      <c r="B32" s="1660" t="s">
        <v>2004</v>
      </c>
      <c r="C32" s="1718" t="s">
        <v>2996</v>
      </c>
      <c r="D32" s="1719"/>
      <c r="E32" s="1693"/>
      <c r="F32" s="1693"/>
      <c r="G32" s="1693"/>
      <c r="H32" s="1693"/>
      <c r="I32" s="1706"/>
      <c r="J32" s="1693"/>
      <c r="K32" s="2458"/>
      <c r="L32" s="1693"/>
      <c r="M32" s="1693"/>
      <c r="N32" s="1693"/>
      <c r="O32" s="1693"/>
      <c r="P32" s="1693"/>
      <c r="Q32" s="1693"/>
      <c r="R32" s="1693"/>
      <c r="S32" s="1693"/>
      <c r="T32" s="1693"/>
      <c r="U32" s="1693"/>
    </row>
    <row r="33" spans="1:21">
      <c r="A33" s="3236"/>
      <c r="B33" s="1660" t="s">
        <v>2005</v>
      </c>
      <c r="C33" s="1720" t="s">
        <v>2994</v>
      </c>
      <c r="D33" s="1837"/>
      <c r="E33" s="1693"/>
      <c r="F33" s="1693"/>
      <c r="G33" s="1693"/>
      <c r="H33" s="1693"/>
      <c r="I33" s="1706"/>
      <c r="J33" s="1693"/>
      <c r="K33" s="2458"/>
      <c r="L33" s="1693"/>
      <c r="M33" s="1693"/>
      <c r="N33" s="1693"/>
      <c r="O33" s="1693"/>
      <c r="P33" s="1693"/>
      <c r="Q33" s="1693"/>
      <c r="R33" s="1693"/>
      <c r="S33" s="1693"/>
      <c r="T33" s="1693"/>
      <c r="U33" s="1693"/>
    </row>
    <row r="34" spans="1:21">
      <c r="A34" s="3237"/>
      <c r="B34" s="1660" t="s">
        <v>2006</v>
      </c>
      <c r="C34" s="3238"/>
      <c r="D34" s="3239"/>
      <c r="E34" s="1693"/>
      <c r="F34" s="1693"/>
      <c r="G34" s="1693"/>
      <c r="H34" s="1693"/>
      <c r="I34" s="1706"/>
      <c r="J34" s="1693"/>
      <c r="K34" s="2458"/>
      <c r="L34" s="1693"/>
      <c r="M34" s="1693"/>
      <c r="N34" s="1693"/>
      <c r="O34" s="1693"/>
      <c r="P34" s="1693"/>
      <c r="Q34" s="1693"/>
      <c r="R34" s="1693"/>
      <c r="S34" s="1693"/>
      <c r="T34" s="1693"/>
      <c r="U34" s="1693"/>
    </row>
    <row r="35" spans="1:21">
      <c r="A35" s="3240" t="s">
        <v>847</v>
      </c>
      <c r="B35" s="1721" t="s">
        <v>2997</v>
      </c>
      <c r="C35" s="1775" t="str">
        <f>IF(B35="场地平整","——","具体情况：")</f>
        <v>——</v>
      </c>
      <c r="D35" s="3242"/>
      <c r="E35" s="3243"/>
      <c r="F35" s="3243"/>
      <c r="G35" s="3243"/>
      <c r="H35" s="3243"/>
      <c r="I35" s="3244"/>
      <c r="J35" s="1693"/>
      <c r="K35" s="1774"/>
      <c r="L35" s="1722"/>
      <c r="M35" s="1722"/>
      <c r="N35" s="1693"/>
      <c r="O35" s="1694"/>
      <c r="P35" s="1693"/>
      <c r="Q35" s="1693"/>
      <c r="R35" s="1693"/>
      <c r="S35" s="1693"/>
      <c r="T35" s="1693"/>
      <c r="U35" s="1693"/>
    </row>
    <row r="36" spans="1:21">
      <c r="A36" s="3236"/>
      <c r="B36" s="3245" t="s">
        <v>2055</v>
      </c>
      <c r="C36" s="3246"/>
      <c r="D36" s="1791" t="s">
        <v>2998</v>
      </c>
      <c r="E36" s="3247"/>
      <c r="F36" s="3247"/>
      <c r="G36" s="1686" t="str">
        <f>IF(B35="场地未平整","估价结果处理","")</f>
        <v/>
      </c>
      <c r="H36" s="3248"/>
      <c r="I36" s="3248"/>
      <c r="J36" s="1693"/>
      <c r="K36" s="1774"/>
      <c r="L36" s="1722"/>
      <c r="M36" s="1722"/>
      <c r="N36" s="1693"/>
      <c r="O36" s="1694"/>
      <c r="P36" s="1693"/>
      <c r="Q36" s="1693"/>
      <c r="R36" s="1693"/>
      <c r="S36" s="1693"/>
      <c r="T36" s="1693"/>
      <c r="U36" s="1693"/>
    </row>
    <row r="37" spans="1:21" ht="28.5">
      <c r="A37" s="3236"/>
      <c r="B37" s="3266"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36"/>
      <c r="B38" s="3267"/>
      <c r="C38" s="1668" t="s">
        <v>850</v>
      </c>
      <c r="D38" s="1790">
        <f>ROUNDDOWN(MIN(('数据-取费表'!$B$2-D37)/365,D34),1)</f>
        <v>118.9</v>
      </c>
      <c r="E38" s="1726" t="s">
        <v>851</v>
      </c>
      <c r="F38" s="1693"/>
      <c r="G38" s="1693"/>
      <c r="H38" s="1693"/>
      <c r="I38" s="1706"/>
      <c r="J38" s="1693"/>
      <c r="K38" s="1774"/>
      <c r="L38" s="1693"/>
      <c r="M38" s="1693"/>
      <c r="N38" s="1693"/>
      <c r="O38" s="1693"/>
      <c r="P38" s="1693"/>
      <c r="Q38" s="1693"/>
      <c r="R38" s="1693"/>
      <c r="S38" s="1693"/>
      <c r="T38" s="1693"/>
      <c r="U38" s="1693"/>
    </row>
    <row r="39" spans="1:21">
      <c r="A39" s="3237"/>
      <c r="B39" s="3268"/>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t="s">
        <v>2999</v>
      </c>
      <c r="C40" s="1689" t="s">
        <v>3000</v>
      </c>
      <c r="D40" s="1689" t="s">
        <v>3001</v>
      </c>
      <c r="E40" s="1689" t="s">
        <v>3002</v>
      </c>
      <c r="F40" s="1689" t="s">
        <v>3003</v>
      </c>
      <c r="G40" s="1689" t="s">
        <v>3004</v>
      </c>
      <c r="H40" s="1689" t="s">
        <v>3005</v>
      </c>
      <c r="I40" s="1706"/>
      <c r="J40" s="1693"/>
      <c r="K40" s="1729">
        <f>COUNTIF(B40:H40,"——")</f>
        <v>0</v>
      </c>
      <c r="L40" s="1698" t="s">
        <v>1979</v>
      </c>
      <c r="M40" s="1695" t="s">
        <v>1980</v>
      </c>
      <c r="N40" s="1695" t="s">
        <v>1981</v>
      </c>
      <c r="O40" s="1695" t="s">
        <v>1982</v>
      </c>
      <c r="P40" s="1695" t="s">
        <v>1983</v>
      </c>
      <c r="Q40" s="1695" t="s">
        <v>1984</v>
      </c>
      <c r="R40" s="1695" t="s">
        <v>1985</v>
      </c>
      <c r="S40" s="3249" t="s">
        <v>1986</v>
      </c>
      <c r="T40" s="1730" t="str">
        <f>NUMBERSTRING(7-K40,1)&amp;"通"</f>
        <v>七通</v>
      </c>
      <c r="U40" s="1693"/>
    </row>
    <row r="41" spans="1:21">
      <c r="A41" s="1662"/>
      <c r="B41" s="3241" t="s">
        <v>1721</v>
      </c>
      <c r="C41" s="3241"/>
      <c r="D41" s="3241"/>
      <c r="E41" s="3241"/>
      <c r="F41" s="1731">
        <f>C10</f>
        <v>0</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通路、通电、通讯、通上水、通下水、通热</v>
      </c>
      <c r="R41" s="1733" t="str">
        <f>B40&amp;"、"&amp;C40&amp;"、"&amp;D40&amp;"、"&amp;E40&amp;"、"&amp;F40&amp;"、"&amp;G40&amp;"、"&amp;H40</f>
        <v>通路、通电、通讯、通上水、通下水、通热、燃气</v>
      </c>
      <c r="S41" s="3249"/>
      <c r="T41" s="1732" t="str">
        <f>IF(T40="一通",L41,IF(T40="二通",M41,IF(T40="三通",N41,IF(T40="四通",O41,IF(T40="五通",P41,IF(T40="六通",Q41,R41))))))</f>
        <v>通路、通电、通讯、通上水、通下水、通热、燃气</v>
      </c>
      <c r="U41" s="1693"/>
    </row>
    <row r="42" spans="1:21">
      <c r="A42" s="1734"/>
      <c r="B42" s="1765" t="s">
        <v>1897</v>
      </c>
      <c r="C42" s="1765" t="s">
        <v>1898</v>
      </c>
      <c r="D42" s="1765" t="s">
        <v>1899</v>
      </c>
      <c r="E42" s="1698" t="s">
        <v>1900</v>
      </c>
      <c r="F42" s="1735"/>
      <c r="G42" s="1693"/>
      <c r="H42" s="1693"/>
      <c r="I42" s="1706"/>
      <c r="J42" s="1693"/>
      <c r="K42" s="1773"/>
      <c r="L42" s="1722"/>
      <c r="M42" s="1722"/>
      <c r="N42" s="1693"/>
      <c r="O42" s="1694"/>
      <c r="P42" s="1693"/>
      <c r="Q42" s="1693"/>
      <c r="R42" s="1693"/>
      <c r="S42" s="1693"/>
      <c r="T42" s="1693"/>
      <c r="U42" s="1693"/>
    </row>
    <row r="43" spans="1:21">
      <c r="A43" s="1736" t="s">
        <v>1706</v>
      </c>
      <c r="B43" s="1737" t="s">
        <v>925</v>
      </c>
      <c r="C43" s="1737" t="s">
        <v>925</v>
      </c>
      <c r="D43" s="1737" t="s">
        <v>925</v>
      </c>
      <c r="E43" s="1737" t="s">
        <v>925</v>
      </c>
      <c r="F43" s="1738"/>
      <c r="G43" s="1693"/>
      <c r="H43" s="1693"/>
      <c r="I43" s="1706"/>
      <c r="J43" s="1693"/>
      <c r="K43" s="1773"/>
      <c r="L43" s="1722"/>
      <c r="M43" s="1722"/>
      <c r="N43" s="1693"/>
      <c r="O43" s="1694"/>
      <c r="P43" s="1693"/>
      <c r="Q43" s="1693"/>
      <c r="R43" s="1693"/>
      <c r="S43" s="1693"/>
      <c r="T43" s="1693"/>
      <c r="U43" s="1693"/>
    </row>
    <row r="44" spans="1:21">
      <c r="A44" s="1736" t="s">
        <v>1707</v>
      </c>
      <c r="B44" s="1737" t="s">
        <v>1160</v>
      </c>
      <c r="C44" s="1737" t="s">
        <v>1160</v>
      </c>
      <c r="D44" s="1737" t="s">
        <v>1160</v>
      </c>
      <c r="E44" s="1737" t="s">
        <v>1160</v>
      </c>
      <c r="F44" s="1738"/>
      <c r="G44" s="1693"/>
      <c r="H44" s="1693"/>
      <c r="I44" s="1706"/>
      <c r="J44" s="1693"/>
      <c r="K44" s="1773"/>
      <c r="L44" s="1722"/>
      <c r="M44" s="1722"/>
      <c r="N44" s="1693"/>
      <c r="O44" s="1694"/>
      <c r="P44" s="1693"/>
      <c r="Q44" s="1693"/>
      <c r="R44" s="1693"/>
      <c r="S44" s="1693"/>
      <c r="T44" s="1693"/>
      <c r="U44" s="1693"/>
    </row>
    <row r="45" spans="1:21" s="3073" customFormat="1" ht="21" thickBot="1">
      <c r="A45" s="3074" t="s">
        <v>2888</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S18" sqref="S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2333</v>
      </c>
      <c r="BA2" s="2361" t="s">
        <v>2332</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21171.5</v>
      </c>
      <c r="B3" s="22">
        <f>IF(C3="否",G5-AT5,G5)</f>
        <v>53357</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53357</v>
      </c>
      <c r="H5" s="27">
        <f t="shared" ref="H5:AT5" si="0">SUM(H13:H641)</f>
        <v>44906</v>
      </c>
      <c r="I5" s="27">
        <f t="shared" si="0"/>
        <v>6098</v>
      </c>
      <c r="J5" s="27">
        <f t="shared" si="0"/>
        <v>0</v>
      </c>
      <c r="K5" s="27">
        <f t="shared" si="0"/>
        <v>6256</v>
      </c>
      <c r="L5" s="27">
        <f t="shared" si="0"/>
        <v>0</v>
      </c>
      <c r="M5" s="27">
        <f t="shared" si="0"/>
        <v>3697</v>
      </c>
      <c r="N5" s="27">
        <f t="shared" si="0"/>
        <v>0</v>
      </c>
      <c r="O5" s="27">
        <f t="shared" si="0"/>
        <v>6546</v>
      </c>
      <c r="P5" s="27">
        <f t="shared" si="0"/>
        <v>0</v>
      </c>
      <c r="Q5" s="27">
        <f t="shared" si="0"/>
        <v>18791</v>
      </c>
      <c r="R5" s="27">
        <f t="shared" si="0"/>
        <v>0</v>
      </c>
      <c r="S5" s="27">
        <f t="shared" si="0"/>
        <v>3518</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6606</v>
      </c>
      <c r="AD5" s="27">
        <f t="shared" si="0"/>
        <v>0</v>
      </c>
      <c r="AE5" s="27">
        <f t="shared" si="0"/>
        <v>0</v>
      </c>
      <c r="AF5" s="27">
        <f t="shared" si="0"/>
        <v>0</v>
      </c>
      <c r="AG5" s="27">
        <f t="shared" si="0"/>
        <v>0</v>
      </c>
      <c r="AH5" s="27">
        <f t="shared" si="0"/>
        <v>0</v>
      </c>
      <c r="AI5" s="27">
        <f t="shared" si="0"/>
        <v>0</v>
      </c>
      <c r="AJ5" s="27">
        <f t="shared" si="0"/>
        <v>0</v>
      </c>
      <c r="AK5" s="27">
        <f t="shared" si="0"/>
        <v>0</v>
      </c>
      <c r="AL5" s="27">
        <f t="shared" si="0"/>
        <v>1244</v>
      </c>
      <c r="AM5" s="27">
        <f t="shared" si="0"/>
        <v>0</v>
      </c>
      <c r="AN5" s="27">
        <f t="shared" si="0"/>
        <v>5362</v>
      </c>
      <c r="AO5" s="27">
        <f t="shared" si="0"/>
        <v>0</v>
      </c>
      <c r="AP5" s="27">
        <f t="shared" si="0"/>
        <v>0</v>
      </c>
      <c r="AQ5" s="27">
        <f t="shared" si="0"/>
        <v>0</v>
      </c>
      <c r="AR5" s="27">
        <f t="shared" si="0"/>
        <v>0</v>
      </c>
      <c r="AS5" s="27">
        <f t="shared" si="0"/>
        <v>0</v>
      </c>
      <c r="AT5" s="27">
        <f t="shared" si="0"/>
        <v>1845</v>
      </c>
      <c r="AU5" s="988"/>
      <c r="AV5" s="26" t="s">
        <v>168</v>
      </c>
      <c r="AW5" s="989"/>
      <c r="AX5" s="989"/>
      <c r="AY5" s="28" t="s">
        <v>3</v>
      </c>
      <c r="AZ5" s="29">
        <f t="shared" ref="AZ5:BT5" si="1">SUM(AZ13:AZ641)</f>
        <v>51512</v>
      </c>
      <c r="BA5" s="29">
        <f t="shared" si="1"/>
        <v>44906</v>
      </c>
      <c r="BB5" s="29">
        <f t="shared" si="1"/>
        <v>6098</v>
      </c>
      <c r="BC5" s="29">
        <f t="shared" si="1"/>
        <v>6256</v>
      </c>
      <c r="BD5" s="29">
        <f t="shared" si="1"/>
        <v>3697</v>
      </c>
      <c r="BE5" s="29">
        <f t="shared" si="1"/>
        <v>6546</v>
      </c>
      <c r="BF5" s="29">
        <f t="shared" si="1"/>
        <v>18791</v>
      </c>
      <c r="BG5" s="29">
        <f t="shared" si="1"/>
        <v>3518</v>
      </c>
      <c r="BH5" s="29">
        <f t="shared" si="1"/>
        <v>0</v>
      </c>
      <c r="BI5" s="29">
        <f t="shared" si="1"/>
        <v>0</v>
      </c>
      <c r="BJ5" s="29">
        <f t="shared" si="1"/>
        <v>0</v>
      </c>
      <c r="BK5" s="29">
        <f t="shared" si="1"/>
        <v>0</v>
      </c>
      <c r="BL5" s="29">
        <f t="shared" si="1"/>
        <v>6606</v>
      </c>
      <c r="BM5" s="29">
        <f t="shared" si="1"/>
        <v>0</v>
      </c>
      <c r="BN5" s="29">
        <f t="shared" si="1"/>
        <v>0</v>
      </c>
      <c r="BO5" s="29">
        <f t="shared" si="1"/>
        <v>0</v>
      </c>
      <c r="BP5" s="29">
        <f t="shared" si="1"/>
        <v>0</v>
      </c>
      <c r="BQ5" s="29">
        <f t="shared" si="1"/>
        <v>1244</v>
      </c>
      <c r="BR5" s="29">
        <f t="shared" si="1"/>
        <v>5362</v>
      </c>
      <c r="BS5" s="29">
        <f t="shared" si="1"/>
        <v>0</v>
      </c>
      <c r="BT5" s="30">
        <f t="shared" si="1"/>
        <v>0</v>
      </c>
    </row>
    <row r="6" spans="1:72" s="37" customFormat="1" ht="12.75">
      <c r="A6" s="26" t="s">
        <v>169</v>
      </c>
      <c r="B6" s="31"/>
      <c r="C6" s="31"/>
      <c r="D6" s="32"/>
      <c r="E6" s="27">
        <f>H6+AC6+AT6</f>
        <v>21171.510000000002</v>
      </c>
      <c r="F6" s="27" t="s">
        <v>1</v>
      </c>
      <c r="G6" s="27" t="s">
        <v>2</v>
      </c>
      <c r="H6" s="33">
        <f>SUMIF(I$12:AB$12,"总值",I6:AB6)</f>
        <v>17818.23</v>
      </c>
      <c r="I6" s="27">
        <f t="shared" ref="I6:AB6" si="2">ROUND($A$3*I5/$B$3,2)</f>
        <v>2419.62</v>
      </c>
      <c r="J6" s="27">
        <f t="shared" si="2"/>
        <v>0</v>
      </c>
      <c r="K6" s="27">
        <f t="shared" si="2"/>
        <v>2482.3200000000002</v>
      </c>
      <c r="L6" s="27">
        <f t="shared" si="2"/>
        <v>0</v>
      </c>
      <c r="M6" s="27">
        <f t="shared" si="2"/>
        <v>1466.93</v>
      </c>
      <c r="N6" s="27">
        <f t="shared" si="2"/>
        <v>0</v>
      </c>
      <c r="O6" s="27">
        <f t="shared" si="2"/>
        <v>2597.38</v>
      </c>
      <c r="P6" s="27">
        <f t="shared" si="2"/>
        <v>0</v>
      </c>
      <c r="Q6" s="27">
        <f t="shared" si="2"/>
        <v>7456.07</v>
      </c>
      <c r="R6" s="27">
        <f t="shared" si="2"/>
        <v>0</v>
      </c>
      <c r="S6" s="27">
        <f t="shared" si="2"/>
        <v>1395.91</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2621.2000000000003</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493.61</v>
      </c>
      <c r="AM6" s="27">
        <f t="shared" si="3"/>
        <v>0</v>
      </c>
      <c r="AN6" s="27">
        <f t="shared" si="3"/>
        <v>2127.59</v>
      </c>
      <c r="AO6" s="27">
        <f t="shared" si="3"/>
        <v>0</v>
      </c>
      <c r="AP6" s="27">
        <f t="shared" si="3"/>
        <v>0</v>
      </c>
      <c r="AQ6" s="27">
        <f t="shared" si="3"/>
        <v>0</v>
      </c>
      <c r="AR6" s="27">
        <f t="shared" si="3"/>
        <v>0</v>
      </c>
      <c r="AS6" s="27">
        <f t="shared" si="3"/>
        <v>0</v>
      </c>
      <c r="AT6" s="33">
        <f>IF(C3="是",ROUND($A$3*AT5/$B$3,2),0)</f>
        <v>732.08</v>
      </c>
      <c r="AU6" s="34"/>
      <c r="AV6" s="26" t="s">
        <v>169</v>
      </c>
      <c r="AW6" s="31"/>
      <c r="AX6" s="31"/>
      <c r="AY6" s="35">
        <f>IF(AY3&gt;0,AY3,ROUND($A$3*AZ5/$B$3,2))</f>
        <v>20439.419999999998</v>
      </c>
      <c r="AZ6" s="27" t="s">
        <v>3</v>
      </c>
      <c r="BA6" s="27">
        <f>ROUND($AY$6*BA5/$AZ$5,2)</f>
        <v>17818.23</v>
      </c>
      <c r="BB6" s="27">
        <f>ROUND($AY$6*BB5/$AZ$5,2)</f>
        <v>2419.62</v>
      </c>
      <c r="BC6" s="27">
        <f t="shared" ref="BC6:BH6" si="4">ROUND($AY$6*BC5/$AZ$5,2)</f>
        <v>2482.3200000000002</v>
      </c>
      <c r="BD6" s="27">
        <f t="shared" si="4"/>
        <v>1466.93</v>
      </c>
      <c r="BE6" s="27">
        <f t="shared" si="4"/>
        <v>2597.38</v>
      </c>
      <c r="BF6" s="27">
        <f t="shared" si="4"/>
        <v>7456.07</v>
      </c>
      <c r="BG6" s="27">
        <f t="shared" si="4"/>
        <v>1395.91</v>
      </c>
      <c r="BH6" s="27">
        <f t="shared" si="4"/>
        <v>0</v>
      </c>
      <c r="BI6" s="27">
        <f t="shared" ref="BI6:BT6" si="5">ROUND($AY$6*BI5/$AZ$5,2)</f>
        <v>0</v>
      </c>
      <c r="BJ6" s="27">
        <f t="shared" si="5"/>
        <v>0</v>
      </c>
      <c r="BK6" s="27">
        <f t="shared" si="5"/>
        <v>0</v>
      </c>
      <c r="BL6" s="27">
        <f t="shared" si="5"/>
        <v>2621.19</v>
      </c>
      <c r="BM6" s="27">
        <f t="shared" si="5"/>
        <v>0</v>
      </c>
      <c r="BN6" s="27">
        <f t="shared" si="5"/>
        <v>0</v>
      </c>
      <c r="BO6" s="27">
        <f t="shared" si="5"/>
        <v>0</v>
      </c>
      <c r="BP6" s="27">
        <f t="shared" si="5"/>
        <v>0</v>
      </c>
      <c r="BQ6" s="27">
        <f t="shared" si="5"/>
        <v>493.61</v>
      </c>
      <c r="BR6" s="27">
        <f t="shared" si="5"/>
        <v>2127.59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9" t="s">
        <v>3006</v>
      </c>
      <c r="J9" s="51"/>
      <c r="K9" s="3019" t="s">
        <v>3006</v>
      </c>
      <c r="L9" s="51"/>
      <c r="M9" s="3019" t="s">
        <v>3006</v>
      </c>
      <c r="N9" s="51"/>
      <c r="O9" s="59" t="s">
        <v>3014</v>
      </c>
      <c r="P9" s="51"/>
      <c r="Q9" s="59" t="s">
        <v>3014</v>
      </c>
      <c r="R9" s="51"/>
      <c r="S9" s="59" t="s">
        <v>3014</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9" t="s">
        <v>2985</v>
      </c>
      <c r="J10" s="51"/>
      <c r="K10" s="3021" t="s">
        <v>2985</v>
      </c>
      <c r="L10" s="51"/>
      <c r="M10" s="3021" t="s">
        <v>2985</v>
      </c>
      <c r="N10" s="51"/>
      <c r="O10" s="66" t="s">
        <v>2985</v>
      </c>
      <c r="P10" s="51"/>
      <c r="Q10" s="66" t="s">
        <v>3015</v>
      </c>
      <c r="R10" s="51"/>
      <c r="S10" s="66" t="s">
        <v>2985</v>
      </c>
      <c r="T10" s="51"/>
      <c r="U10" s="66"/>
      <c r="V10" s="51"/>
      <c r="W10" s="66"/>
      <c r="X10" s="51"/>
      <c r="Y10" s="66"/>
      <c r="Z10" s="51"/>
      <c r="AA10" s="66"/>
      <c r="AB10" s="51"/>
      <c r="AC10" s="55"/>
      <c r="AD10" s="2314" t="s">
        <v>2318</v>
      </c>
      <c r="AE10" s="2336"/>
      <c r="AF10" s="2314" t="s">
        <v>2318</v>
      </c>
      <c r="AG10" s="2336"/>
      <c r="AH10" s="2314" t="s">
        <v>2319</v>
      </c>
      <c r="AI10" s="2336"/>
      <c r="AJ10" s="26" t="s">
        <v>2331</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地上</v>
      </c>
      <c r="BE10" s="69" t="str">
        <f>O9</f>
        <v>地下</v>
      </c>
      <c r="BF10" s="69" t="str">
        <f>Q9</f>
        <v>地下</v>
      </c>
      <c r="BG10" s="69" t="str">
        <f>S9</f>
        <v>地下</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0" t="s">
        <v>3007</v>
      </c>
      <c r="J11" s="71"/>
      <c r="K11" s="3020" t="s">
        <v>3008</v>
      </c>
      <c r="L11" s="71"/>
      <c r="M11" s="70" t="s">
        <v>3010</v>
      </c>
      <c r="N11" s="71"/>
      <c r="O11" s="70" t="s">
        <v>3012</v>
      </c>
      <c r="P11" s="71"/>
      <c r="Q11" s="70" t="s">
        <v>3015</v>
      </c>
      <c r="R11" s="71"/>
      <c r="S11" s="70" t="s">
        <v>3434</v>
      </c>
      <c r="T11" s="71"/>
      <c r="U11" s="70"/>
      <c r="V11" s="71"/>
      <c r="W11" s="70"/>
      <c r="X11" s="71"/>
      <c r="Y11" s="70"/>
      <c r="Z11" s="71"/>
      <c r="AA11" s="70"/>
      <c r="AB11" s="71"/>
      <c r="AC11" s="55"/>
      <c r="AD11" s="2334" t="s">
        <v>2330</v>
      </c>
      <c r="AE11" s="1002"/>
      <c r="AF11" s="2334" t="s">
        <v>2330</v>
      </c>
      <c r="AG11" s="1002"/>
      <c r="AH11" s="2334" t="s">
        <v>2329</v>
      </c>
      <c r="AI11" s="2335"/>
      <c r="AJ11" s="2334" t="s">
        <v>2329</v>
      </c>
      <c r="AK11" s="2333"/>
      <c r="AL11" s="1000"/>
      <c r="AM11" s="1002"/>
      <c r="AN11" s="1000"/>
      <c r="AO11" s="1002"/>
      <c r="AP11" s="1188"/>
      <c r="AQ11" s="1190"/>
      <c r="AR11" s="1188"/>
      <c r="AS11" s="1190"/>
      <c r="AT11" s="1003"/>
      <c r="AU11" s="45"/>
      <c r="AV11" s="55"/>
      <c r="AW11" s="1003"/>
      <c r="AX11" s="55"/>
      <c r="AY11" s="62"/>
      <c r="AZ11" s="62"/>
      <c r="BA11" s="62"/>
      <c r="BB11" s="50" t="str">
        <f>I10</f>
        <v>商业</v>
      </c>
      <c r="BC11" s="50" t="str">
        <f>K10</f>
        <v>商业</v>
      </c>
      <c r="BD11" s="50" t="str">
        <f>M10</f>
        <v>商业</v>
      </c>
      <c r="BE11" s="50" t="str">
        <f>O10</f>
        <v>商业</v>
      </c>
      <c r="BF11" s="50" t="str">
        <f>Q10</f>
        <v>车库</v>
      </c>
      <c r="BG11" s="50" t="str">
        <f>S10</f>
        <v>商业</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底商</v>
      </c>
      <c r="BC12" s="79" t="str">
        <f>K11</f>
        <v>体育设施</v>
      </c>
      <c r="BD12" s="79" t="str">
        <f>M11</f>
        <v>教育培训</v>
      </c>
      <c r="BE12" s="50" t="str">
        <f>O11</f>
        <v>冰场</v>
      </c>
      <c r="BF12" s="50" t="str">
        <f>Q11</f>
        <v>车库</v>
      </c>
      <c r="BG12" s="50" t="str">
        <f>S11</f>
        <v>地下商业</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4"/>
      <c r="B13" s="3014"/>
      <c r="C13" s="3014" t="s">
        <v>3021</v>
      </c>
      <c r="D13" s="3015" t="s">
        <v>1679</v>
      </c>
      <c r="E13" s="27">
        <f t="shared" ref="E13:E20" si="6">IF($C$3="是",ROUND($A$3*G13/$B$3,2),ROUND($A$3*(G13-AT13)/$B$3,2))</f>
        <v>21171.5</v>
      </c>
      <c r="F13" s="81"/>
      <c r="G13" s="82">
        <f t="shared" ref="G13:G20" si="7">H13+AC13+AT13</f>
        <v>53357</v>
      </c>
      <c r="H13" s="33">
        <f t="shared" ref="H13:H20" si="8">SUMIF(I$12:AB$12,"总值",I13:AB13)</f>
        <v>44906</v>
      </c>
      <c r="I13" s="3018">
        <v>6098</v>
      </c>
      <c r="J13" s="3018"/>
      <c r="K13" s="3018">
        <v>6256</v>
      </c>
      <c r="L13" s="3018"/>
      <c r="M13" s="3018">
        <v>3697</v>
      </c>
      <c r="N13" s="83"/>
      <c r="O13" s="83">
        <v>6546</v>
      </c>
      <c r="P13" s="83"/>
      <c r="Q13" s="83">
        <v>18791</v>
      </c>
      <c r="R13" s="83"/>
      <c r="S13" s="83">
        <f>2083+1435</f>
        <v>3518</v>
      </c>
      <c r="T13" s="83"/>
      <c r="U13" s="83"/>
      <c r="V13" s="83"/>
      <c r="W13" s="83"/>
      <c r="X13" s="83"/>
      <c r="Y13" s="83"/>
      <c r="Z13" s="83"/>
      <c r="AA13" s="83"/>
      <c r="AB13" s="83"/>
      <c r="AC13" s="27">
        <f t="shared" ref="AC13:AC20" si="9">SUMIF(AD$12:AS$12,"总值",AD13:AS13)</f>
        <v>6606</v>
      </c>
      <c r="AD13" s="3022"/>
      <c r="AE13" s="3022"/>
      <c r="AF13" s="3022"/>
      <c r="AG13" s="3022"/>
      <c r="AH13" s="3022"/>
      <c r="AI13" s="3022"/>
      <c r="AJ13" s="3022"/>
      <c r="AK13" s="3022"/>
      <c r="AL13" s="3022">
        <f>543+701</f>
        <v>1244</v>
      </c>
      <c r="AM13" s="3022"/>
      <c r="AN13" s="3022">
        <f>4741+621</f>
        <v>5362</v>
      </c>
      <c r="AO13" s="3022"/>
      <c r="AP13" s="3022"/>
      <c r="AQ13" s="3022"/>
      <c r="AR13" s="3022"/>
      <c r="AS13" s="3022"/>
      <c r="AT13" s="3023">
        <f>62+1783</f>
        <v>1845</v>
      </c>
      <c r="AU13" s="3024"/>
      <c r="AV13" s="17">
        <f t="shared" ref="AV13:AX20" si="10">A13</f>
        <v>0</v>
      </c>
      <c r="AW13" s="17">
        <f t="shared" si="10"/>
        <v>0</v>
      </c>
      <c r="AX13" s="17" t="str">
        <f t="shared" si="10"/>
        <v>独立商业</v>
      </c>
      <c r="AY13" s="996">
        <f t="shared" ref="AY13:AY20" si="11">ROUND($AY$6*AZ13/$AZ$5,2)</f>
        <v>20439.419999999998</v>
      </c>
      <c r="AZ13" s="27">
        <f t="shared" ref="AZ13:AZ20" si="12">BA13+BL13</f>
        <v>51512</v>
      </c>
      <c r="BA13" s="27">
        <f t="shared" ref="BA13:BA20" si="13">SUM(BB13:BK13)</f>
        <v>44906</v>
      </c>
      <c r="BB13" s="27">
        <f t="shared" ref="BB13:BB20" si="14">IF($D13="是",I13-J13,0)</f>
        <v>6098</v>
      </c>
      <c r="BC13" s="27">
        <f t="shared" ref="BC13:BC20" si="15">IF($D13="是",K13-L13,0)</f>
        <v>6256</v>
      </c>
      <c r="BD13" s="27">
        <f t="shared" ref="BD13:BD20" si="16">IF($D13="是",M13-N13,0)</f>
        <v>3697</v>
      </c>
      <c r="BE13" s="27">
        <f t="shared" ref="BE13:BE20" si="17">IF($D13="是",O13-P13,0)</f>
        <v>6546</v>
      </c>
      <c r="BF13" s="27">
        <f t="shared" ref="BF13:BF20" si="18">IF($D13="是",Q13-R13,0)</f>
        <v>18791</v>
      </c>
      <c r="BG13" s="27">
        <f t="shared" ref="BG13:BG20" si="19">IF($D13="是",S13-T13,0)</f>
        <v>3518</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6606</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1244</v>
      </c>
      <c r="BR13" s="27">
        <f t="shared" ref="BR13:BR20" si="30">IF($D13="是",AN13-AO13,0)</f>
        <v>5362</v>
      </c>
      <c r="BS13" s="27">
        <f t="shared" ref="BS13:BS20" si="31">IF($D13="是",AP13-AQ13,0)</f>
        <v>0</v>
      </c>
      <c r="BT13" s="36">
        <f t="shared" ref="BT13:BT20" si="32">IF($D13="是",AR13-AS13,0)</f>
        <v>0</v>
      </c>
    </row>
    <row r="14" spans="1:72" s="18" customFormat="1" ht="12.75">
      <c r="A14" s="3014"/>
      <c r="B14" s="3014"/>
      <c r="C14" s="3016"/>
      <c r="D14" s="3015"/>
      <c r="E14" s="27">
        <f t="shared" si="6"/>
        <v>0</v>
      </c>
      <c r="F14" s="81"/>
      <c r="G14" s="82">
        <f t="shared" si="7"/>
        <v>0</v>
      </c>
      <c r="H14" s="33">
        <f t="shared" si="8"/>
        <v>0</v>
      </c>
      <c r="I14" s="3018"/>
      <c r="J14" s="3018"/>
      <c r="K14" s="3018"/>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c r="D15" s="3015"/>
      <c r="E15" s="27">
        <f t="shared" si="6"/>
        <v>0</v>
      </c>
      <c r="F15" s="81"/>
      <c r="G15" s="82">
        <f t="shared" si="7"/>
        <v>0</v>
      </c>
      <c r="H15" s="33">
        <f t="shared" si="8"/>
        <v>0</v>
      </c>
      <c r="I15" s="3018"/>
      <c r="J15" s="3018"/>
      <c r="K15" s="3018"/>
      <c r="L15" s="3018"/>
      <c r="M15" s="3018"/>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c r="D16" s="3015"/>
      <c r="E16" s="27">
        <f t="shared" si="6"/>
        <v>0</v>
      </c>
      <c r="F16" s="81"/>
      <c r="G16" s="82">
        <f t="shared" si="7"/>
        <v>0</v>
      </c>
      <c r="H16" s="33">
        <f t="shared" si="8"/>
        <v>0</v>
      </c>
      <c r="I16" s="3018"/>
      <c r="J16" s="3018"/>
      <c r="K16" s="3018"/>
      <c r="L16" s="3018"/>
      <c r="M16" s="3018"/>
      <c r="N16" s="83"/>
      <c r="O16" s="83"/>
      <c r="P16" s="83"/>
      <c r="Q16" s="83"/>
      <c r="R16" s="83"/>
      <c r="S16" s="83"/>
      <c r="T16" s="83"/>
      <c r="U16" s="83"/>
      <c r="V16" s="83"/>
      <c r="W16" s="83"/>
      <c r="X16" s="83"/>
      <c r="Y16" s="83"/>
      <c r="Z16" s="83"/>
      <c r="AA16" s="83"/>
      <c r="AB16" s="83"/>
      <c r="AC16" s="27">
        <f t="shared" si="9"/>
        <v>0</v>
      </c>
      <c r="AD16" s="3022"/>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7" t="s">
        <v>0</v>
      </c>
      <c r="B1" s="3277" t="s">
        <v>4</v>
      </c>
      <c r="C1" s="3277" t="s">
        <v>5</v>
      </c>
      <c r="D1" s="3278" t="s">
        <v>40</v>
      </c>
      <c r="E1" s="3278" t="s">
        <v>41</v>
      </c>
      <c r="F1" s="3278"/>
      <c r="G1" s="3278"/>
      <c r="H1" s="3278"/>
      <c r="I1" s="3278"/>
      <c r="J1" s="3278"/>
      <c r="K1" s="3278"/>
      <c r="L1" s="3278"/>
      <c r="M1" s="3278"/>
    </row>
    <row r="2" spans="1:13" ht="27" customHeight="1">
      <c r="A2" s="3277"/>
      <c r="B2" s="3277"/>
      <c r="C2" s="3277"/>
      <c r="D2" s="3278"/>
      <c r="E2" s="3278" t="s">
        <v>24</v>
      </c>
      <c r="F2" s="3278" t="s">
        <v>25</v>
      </c>
      <c r="G2" s="3278"/>
      <c r="H2" s="3278"/>
      <c r="I2" s="3278"/>
      <c r="J2" s="3278" t="s">
        <v>26</v>
      </c>
      <c r="K2" s="3278"/>
      <c r="L2" s="3278"/>
      <c r="M2" s="3278"/>
    </row>
    <row r="3" spans="1:13" ht="28.5">
      <c r="A3" s="3277"/>
      <c r="B3" s="3277"/>
      <c r="C3" s="3277"/>
      <c r="D3" s="3278"/>
      <c r="E3" s="327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8" t="s">
        <v>42</v>
      </c>
      <c r="B9" s="3278"/>
      <c r="C9" s="327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35" sqref="H35"/>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88" t="s">
        <v>203</v>
      </c>
      <c r="B2" s="3288"/>
      <c r="C2" s="3288"/>
      <c r="D2" s="1975" t="s">
        <v>204</v>
      </c>
      <c r="E2" s="106" t="s">
        <v>205</v>
      </c>
      <c r="F2" s="1984"/>
      <c r="G2" s="1198"/>
      <c r="H2" s="1199"/>
      <c r="I2" s="1200" t="s">
        <v>857</v>
      </c>
      <c r="J2" s="1984"/>
      <c r="K2" s="1984"/>
      <c r="L2" s="1984"/>
    </row>
    <row r="3" spans="1:16" ht="15.75" thickBot="1">
      <c r="A3" s="3289" t="s">
        <v>206</v>
      </c>
      <c r="B3" s="3289"/>
      <c r="C3" s="3289"/>
      <c r="D3" s="107">
        <f>'数据-基础表'!AY6</f>
        <v>20439.419999999998</v>
      </c>
      <c r="E3" s="107">
        <f>'数据-基础表'!AZ5</f>
        <v>51512</v>
      </c>
      <c r="F3" s="1984"/>
      <c r="G3" s="280" t="s">
        <v>858</v>
      </c>
      <c r="H3" s="275" t="s">
        <v>859</v>
      </c>
      <c r="I3" s="1976">
        <f>ROUND('数据-基础表'!B3/'数据-基础表'!A3,2)</f>
        <v>2.52</v>
      </c>
      <c r="J3" s="1984"/>
      <c r="K3" s="1984"/>
      <c r="L3" s="1984"/>
    </row>
    <row r="4" spans="1:16" ht="15">
      <c r="A4" s="3290"/>
      <c r="B4" s="3291"/>
      <c r="C4" s="3292"/>
      <c r="D4" s="108" t="s">
        <v>204</v>
      </c>
      <c r="E4" s="109" t="s">
        <v>205</v>
      </c>
      <c r="F4" s="1984"/>
      <c r="G4" s="1201"/>
      <c r="H4" s="275" t="s">
        <v>860</v>
      </c>
      <c r="I4" s="1976">
        <f>ROUND(SUMIF('数据-基础表'!I9:AS9,"地上",'数据-基础表'!I5:AS5)/'数据-基础表'!A3,2)</f>
        <v>0.82</v>
      </c>
      <c r="J4" s="1984"/>
      <c r="K4" s="1984"/>
      <c r="L4" s="1984"/>
    </row>
    <row r="5" spans="1:16">
      <c r="A5" s="110" t="s">
        <v>207</v>
      </c>
      <c r="B5" s="3293" t="s">
        <v>230</v>
      </c>
      <c r="C5" s="3293"/>
      <c r="D5" s="111">
        <f>ROUND($D$3*E5/$E$3,2)</f>
        <v>0</v>
      </c>
      <c r="E5" s="112">
        <f>SUMIF('数据-基础表'!$11:$11,"住宅",'数据-基础表'!$5:$5)</f>
        <v>0</v>
      </c>
      <c r="F5" s="1984"/>
      <c r="G5" s="280" t="s">
        <v>861</v>
      </c>
      <c r="H5" s="275" t="s">
        <v>859</v>
      </c>
      <c r="I5" s="1976">
        <f>ROUND(E31/D31,2)</f>
        <v>2.52</v>
      </c>
      <c r="J5" s="1984"/>
      <c r="K5" s="1984"/>
      <c r="L5" s="1984"/>
    </row>
    <row r="6" spans="1:16" ht="15" thickBot="1">
      <c r="A6" s="113"/>
      <c r="B6" s="3293" t="s">
        <v>208</v>
      </c>
      <c r="C6" s="3293"/>
      <c r="D6" s="111">
        <f>ROUND($D$3*E6/$E$3,2)</f>
        <v>20439.419999999998</v>
      </c>
      <c r="E6" s="112">
        <f>E3-E5</f>
        <v>51512</v>
      </c>
      <c r="F6" s="1984"/>
      <c r="G6" s="1201"/>
      <c r="H6" s="275" t="s">
        <v>860</v>
      </c>
      <c r="I6" s="1976">
        <f>ROUND(F31/D31,2)</f>
        <v>0.85</v>
      </c>
      <c r="J6" s="1984"/>
      <c r="K6" s="1984"/>
      <c r="L6" s="1984"/>
    </row>
    <row r="7" spans="1:16" ht="15">
      <c r="A7" s="3285"/>
      <c r="B7" s="3286"/>
      <c r="C7" s="3287"/>
      <c r="D7" s="108" t="s">
        <v>204</v>
      </c>
      <c r="E7" s="114" t="s">
        <v>231</v>
      </c>
      <c r="F7" s="1984"/>
      <c r="G7" s="1156" t="s">
        <v>1646</v>
      </c>
      <c r="H7" s="1157"/>
      <c r="I7" s="1846"/>
      <c r="J7" s="1984"/>
      <c r="K7" s="1984"/>
      <c r="L7" s="1984"/>
    </row>
    <row r="8" spans="1:16">
      <c r="A8" s="110" t="s">
        <v>209</v>
      </c>
      <c r="B8" s="115" t="s">
        <v>210</v>
      </c>
      <c r="C8" s="111" t="s">
        <v>211</v>
      </c>
      <c r="D8" s="111">
        <f t="shared" ref="D8:D15" si="0">ROUND($D$3*E8/$E$3,2)</f>
        <v>6368.87</v>
      </c>
      <c r="E8" s="116">
        <f>SUMIF('数据-基础表'!BB10:BK10,"地上",'数据-基础表'!BB5:BK5)</f>
        <v>16051</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3993.29</v>
      </c>
      <c r="E10" s="116">
        <f>SUMPRODUCT(('数据-基础表'!BB10:BK10="地下")*('数据-基础表'!BB11:BK11="商业")*('数据-基础表'!BB5:BK5))</f>
        <v>10064</v>
      </c>
      <c r="F10" s="1984"/>
      <c r="G10" s="1986"/>
      <c r="H10" s="1986"/>
      <c r="I10" s="1984"/>
      <c r="J10" s="1984"/>
      <c r="K10" s="1984"/>
      <c r="L10" s="1984"/>
    </row>
    <row r="11" spans="1:16">
      <c r="A11" s="117"/>
      <c r="B11" s="118"/>
      <c r="C11" s="2331" t="s">
        <v>2327</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2334</v>
      </c>
      <c r="D13" s="111">
        <f t="shared" si="0"/>
        <v>7456.07</v>
      </c>
      <c r="E13" s="116">
        <f>SUMPRODUCT(('数据-基础表'!BB10:BK10="地下")*('数据-基础表'!BB11:BK11="车库")*('数据-基础表'!BB5:BK5))</f>
        <v>18791</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17818.23</v>
      </c>
      <c r="E16" s="120">
        <f>SUM(E8:E15)</f>
        <v>44906</v>
      </c>
      <c r="F16" s="1984"/>
      <c r="G16" s="1986"/>
      <c r="H16" s="968" t="s">
        <v>219</v>
      </c>
      <c r="I16" s="969"/>
      <c r="J16" s="1984"/>
      <c r="K16" s="3279" t="s">
        <v>2566</v>
      </c>
      <c r="L16" s="3280"/>
      <c r="M16" s="3280"/>
      <c r="N16" s="3280"/>
      <c r="O16" s="3280"/>
      <c r="P16" s="3281"/>
    </row>
    <row r="17" spans="1:19" ht="15">
      <c r="A17" s="121" t="s">
        <v>216</v>
      </c>
      <c r="B17" s="122" t="s">
        <v>217</v>
      </c>
      <c r="C17" s="2298" t="s">
        <v>2314</v>
      </c>
      <c r="D17" s="108" t="s">
        <v>204</v>
      </c>
      <c r="E17" s="124" t="s">
        <v>205</v>
      </c>
      <c r="F17" s="125"/>
      <c r="G17" s="1365"/>
      <c r="H17" s="970" t="s">
        <v>218</v>
      </c>
      <c r="I17" s="971" t="s">
        <v>2313</v>
      </c>
      <c r="J17" s="1984"/>
      <c r="K17" s="3282" t="s">
        <v>2567</v>
      </c>
      <c r="L17" s="3283"/>
      <c r="M17" s="3284"/>
      <c r="N17" s="3282" t="s">
        <v>2568</v>
      </c>
      <c r="O17" s="3283"/>
      <c r="P17" s="3284"/>
      <c r="R17" s="2299" t="s">
        <v>2312</v>
      </c>
      <c r="S17" s="144"/>
    </row>
    <row r="18" spans="1:19" ht="15">
      <c r="A18" s="117"/>
      <c r="B18" s="128"/>
      <c r="C18" s="129"/>
      <c r="D18" s="2642"/>
      <c r="E18" s="130" t="s">
        <v>220</v>
      </c>
      <c r="F18" s="131" t="s">
        <v>221</v>
      </c>
      <c r="G18" s="1366" t="s">
        <v>222</v>
      </c>
      <c r="H18" s="972" t="s">
        <v>223</v>
      </c>
      <c r="I18" s="973" t="s">
        <v>224</v>
      </c>
      <c r="J18" s="1984"/>
      <c r="K18" s="2605" t="s">
        <v>2569</v>
      </c>
      <c r="L18" s="2606" t="s">
        <v>2570</v>
      </c>
      <c r="M18" s="2607" t="s">
        <v>2571</v>
      </c>
      <c r="N18" s="2605" t="s">
        <v>2569</v>
      </c>
      <c r="O18" s="2606" t="s">
        <v>2570</v>
      </c>
      <c r="P18" s="2607" t="s">
        <v>2571</v>
      </c>
      <c r="R18" s="2300" t="s">
        <v>2310</v>
      </c>
      <c r="S18" s="2300" t="s">
        <v>2311</v>
      </c>
    </row>
    <row r="19" spans="1:19">
      <c r="A19" s="133"/>
      <c r="B19" s="115" t="s">
        <v>225</v>
      </c>
      <c r="C19" s="3025" t="s">
        <v>3016</v>
      </c>
      <c r="D19" s="111">
        <f t="shared" ref="D19:D26" si="1">ROUND($D$3*E19/$E$3,2)</f>
        <v>2419.62</v>
      </c>
      <c r="E19" s="134">
        <f t="shared" ref="E19:E26" si="2">SUM(F19:G19)</f>
        <v>6098</v>
      </c>
      <c r="F19" s="135">
        <f>'数据-基础表'!I5</f>
        <v>6098</v>
      </c>
      <c r="G19" s="1367"/>
      <c r="H19" s="974">
        <f>ROUND($D$3*I19/$E$3,2)</f>
        <v>355.94</v>
      </c>
      <c r="I19" s="116">
        <f>IF($I$17="自定义",P19,M19)</f>
        <v>897.06</v>
      </c>
      <c r="J19" s="1984"/>
      <c r="K19" s="2608">
        <f t="shared" ref="K19:K26" si="3">ROUND(E$28*E19/E$27,2)</f>
        <v>897.06</v>
      </c>
      <c r="L19" s="275">
        <f t="shared" ref="L19:L26" si="4">ROUND(IF(COUNTIF(C19,"*住宅*")&gt;0,E$29*E19/E$32,0),2)</f>
        <v>0</v>
      </c>
      <c r="M19" s="2609">
        <f>K19+L19</f>
        <v>897.06</v>
      </c>
      <c r="N19" s="2610"/>
      <c r="O19" s="2611"/>
      <c r="P19" s="2612">
        <f>N19+O19</f>
        <v>0</v>
      </c>
      <c r="R19" s="275">
        <f t="shared" ref="R19:S26" si="5">D19+H19</f>
        <v>2775.56</v>
      </c>
      <c r="S19" s="2301">
        <f t="shared" si="5"/>
        <v>6995.0599999999995</v>
      </c>
    </row>
    <row r="20" spans="1:19">
      <c r="A20" s="138"/>
      <c r="B20" s="115" t="s">
        <v>226</v>
      </c>
      <c r="C20" s="3025" t="s">
        <v>3017</v>
      </c>
      <c r="D20" s="111">
        <f t="shared" si="1"/>
        <v>2482.3200000000002</v>
      </c>
      <c r="E20" s="134">
        <f t="shared" si="2"/>
        <v>6256</v>
      </c>
      <c r="F20" s="135">
        <f>'数据-基础表'!K5</f>
        <v>6256</v>
      </c>
      <c r="G20" s="1367"/>
      <c r="H20" s="974">
        <f t="shared" ref="H20:H26" si="6">ROUND($D$3*I20/$E$3,2)</f>
        <v>365.17</v>
      </c>
      <c r="I20" s="116">
        <f t="shared" ref="I20:I26" si="7">IF($I$17="自定义",P20,M20)</f>
        <v>920.3</v>
      </c>
      <c r="J20" s="1984"/>
      <c r="K20" s="2608">
        <f t="shared" si="3"/>
        <v>920.3</v>
      </c>
      <c r="L20" s="275">
        <f t="shared" si="4"/>
        <v>0</v>
      </c>
      <c r="M20" s="2609">
        <f t="shared" ref="M20:M26" si="8">K20+L20</f>
        <v>920.3</v>
      </c>
      <c r="N20" s="2610"/>
      <c r="O20" s="2611"/>
      <c r="P20" s="2612">
        <f t="shared" ref="P20:P26" si="9">N20+O20</f>
        <v>0</v>
      </c>
      <c r="R20" s="275">
        <f t="shared" si="5"/>
        <v>2847.4900000000002</v>
      </c>
      <c r="S20" s="2301">
        <f t="shared" si="5"/>
        <v>7176.3</v>
      </c>
    </row>
    <row r="21" spans="1:19">
      <c r="A21" s="138"/>
      <c r="B21" s="115" t="s">
        <v>226</v>
      </c>
      <c r="C21" s="3025" t="s">
        <v>3018</v>
      </c>
      <c r="D21" s="111">
        <f t="shared" si="1"/>
        <v>1466.93</v>
      </c>
      <c r="E21" s="134">
        <f t="shared" si="2"/>
        <v>3697</v>
      </c>
      <c r="F21" s="135">
        <f>'数据-基础表'!M5</f>
        <v>3697</v>
      </c>
      <c r="G21" s="1367"/>
      <c r="H21" s="974">
        <f t="shared" si="6"/>
        <v>215.8</v>
      </c>
      <c r="I21" s="116">
        <f t="shared" si="7"/>
        <v>543.86</v>
      </c>
      <c r="J21" s="1984"/>
      <c r="K21" s="2608">
        <f t="shared" si="3"/>
        <v>543.86</v>
      </c>
      <c r="L21" s="275">
        <f t="shared" si="4"/>
        <v>0</v>
      </c>
      <c r="M21" s="2609">
        <f t="shared" si="8"/>
        <v>543.86</v>
      </c>
      <c r="N21" s="2610"/>
      <c r="O21" s="2611"/>
      <c r="P21" s="2612">
        <f t="shared" si="9"/>
        <v>0</v>
      </c>
      <c r="R21" s="275">
        <f t="shared" si="5"/>
        <v>1682.73</v>
      </c>
      <c r="S21" s="2301">
        <f t="shared" si="5"/>
        <v>4240.8599999999997</v>
      </c>
    </row>
    <row r="22" spans="1:19">
      <c r="A22" s="138"/>
      <c r="B22" s="115" t="s">
        <v>226</v>
      </c>
      <c r="C22" s="3187" t="s">
        <v>3019</v>
      </c>
      <c r="D22" s="111">
        <f t="shared" si="1"/>
        <v>2597.38</v>
      </c>
      <c r="E22" s="134">
        <f t="shared" si="2"/>
        <v>6546</v>
      </c>
      <c r="F22" s="140"/>
      <c r="G22" s="1368">
        <f>'数据-基础表'!O5</f>
        <v>6546</v>
      </c>
      <c r="H22" s="974">
        <f t="shared" si="6"/>
        <v>382.09</v>
      </c>
      <c r="I22" s="116">
        <f t="shared" si="7"/>
        <v>962.96</v>
      </c>
      <c r="J22" s="1984"/>
      <c r="K22" s="2608">
        <f t="shared" si="3"/>
        <v>962.96</v>
      </c>
      <c r="L22" s="275">
        <f t="shared" si="4"/>
        <v>0</v>
      </c>
      <c r="M22" s="2609">
        <f t="shared" si="8"/>
        <v>962.96</v>
      </c>
      <c r="N22" s="2610"/>
      <c r="O22" s="2611"/>
      <c r="P22" s="2612">
        <f t="shared" si="9"/>
        <v>0</v>
      </c>
      <c r="R22" s="275">
        <f t="shared" si="5"/>
        <v>2979.4700000000003</v>
      </c>
      <c r="S22" s="2301">
        <f t="shared" si="5"/>
        <v>7508.96</v>
      </c>
    </row>
    <row r="23" spans="1:19">
      <c r="A23" s="138"/>
      <c r="B23" s="115" t="s">
        <v>226</v>
      </c>
      <c r="C23" s="3187" t="s">
        <v>3020</v>
      </c>
      <c r="D23" s="111">
        <f>ROUND($D$3*E23/$E$3,2)</f>
        <v>7456.07</v>
      </c>
      <c r="E23" s="134">
        <f>SUM(F23:G23)</f>
        <v>18791</v>
      </c>
      <c r="F23" s="140"/>
      <c r="G23" s="1368">
        <f>'数据-基础表'!Q5</f>
        <v>18791</v>
      </c>
      <c r="H23" s="974">
        <f>ROUND($D$3*I23/$E$3,2)</f>
        <v>1096.8399999999999</v>
      </c>
      <c r="I23" s="116">
        <f t="shared" si="7"/>
        <v>2764.29</v>
      </c>
      <c r="J23" s="1984"/>
      <c r="K23" s="2608">
        <f t="shared" si="3"/>
        <v>2764.29</v>
      </c>
      <c r="L23" s="275">
        <f t="shared" si="4"/>
        <v>0</v>
      </c>
      <c r="M23" s="2609">
        <f t="shared" si="8"/>
        <v>2764.29</v>
      </c>
      <c r="N23" s="2610"/>
      <c r="O23" s="2611"/>
      <c r="P23" s="2612">
        <f t="shared" si="9"/>
        <v>0</v>
      </c>
      <c r="R23" s="275">
        <f t="shared" si="5"/>
        <v>8552.91</v>
      </c>
      <c r="S23" s="2301">
        <f t="shared" si="5"/>
        <v>21555.29</v>
      </c>
    </row>
    <row r="24" spans="1:19">
      <c r="A24" s="138"/>
      <c r="B24" s="115" t="s">
        <v>226</v>
      </c>
      <c r="C24" s="3187" t="s">
        <v>3436</v>
      </c>
      <c r="D24" s="111">
        <f>ROUND($D$3*E24/$E$3,2)</f>
        <v>1395.91</v>
      </c>
      <c r="E24" s="134">
        <f>SUM(F24:G24)</f>
        <v>3518</v>
      </c>
      <c r="F24" s="140"/>
      <c r="G24" s="1368">
        <f>'数据-基础表'!S13</f>
        <v>3518</v>
      </c>
      <c r="H24" s="974">
        <f>ROUND($D$3*I24/$E$3,2)</f>
        <v>205.35</v>
      </c>
      <c r="I24" s="116">
        <f t="shared" si="7"/>
        <v>517.52</v>
      </c>
      <c r="J24" s="1984"/>
      <c r="K24" s="2608">
        <f t="shared" si="3"/>
        <v>517.52</v>
      </c>
      <c r="L24" s="275">
        <f t="shared" si="4"/>
        <v>0</v>
      </c>
      <c r="M24" s="2609">
        <f t="shared" si="8"/>
        <v>517.52</v>
      </c>
      <c r="N24" s="2610"/>
      <c r="O24" s="2611"/>
      <c r="P24" s="2612">
        <f t="shared" si="9"/>
        <v>0</v>
      </c>
      <c r="R24" s="275">
        <f t="shared" si="5"/>
        <v>1601.26</v>
      </c>
      <c r="S24" s="2301">
        <f t="shared" si="5"/>
        <v>4035.52</v>
      </c>
    </row>
    <row r="25" spans="1:19">
      <c r="A25" s="138"/>
      <c r="B25" s="115" t="s">
        <v>226</v>
      </c>
      <c r="C25" s="139"/>
      <c r="D25" s="111">
        <f t="shared" si="1"/>
        <v>0</v>
      </c>
      <c r="E25" s="134">
        <f t="shared" si="2"/>
        <v>0</v>
      </c>
      <c r="F25" s="140"/>
      <c r="G25" s="1368"/>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15.75" thickBot="1">
      <c r="A27" s="138"/>
      <c r="B27" s="111"/>
      <c r="C27" s="127" t="s">
        <v>215</v>
      </c>
      <c r="D27" s="134">
        <f>SUM(D19:D26)</f>
        <v>17818.23</v>
      </c>
      <c r="E27" s="143">
        <f>IF(SUM(E19:E26)='数据-基础表'!BA5,SUM(E19:E26),IF(F27="地上面积有误","面积有误","地下面积有误"))</f>
        <v>44906</v>
      </c>
      <c r="F27" s="134">
        <f>IF(SUM(F19:F26)=E8,SUM(F19:F26),"地上面积有误")</f>
        <v>16051</v>
      </c>
      <c r="G27" s="112">
        <f>SUM(G19:G26)</f>
        <v>28855</v>
      </c>
      <c r="H27" s="975">
        <f>SUM(H19:H26)</f>
        <v>2621.19</v>
      </c>
      <c r="I27" s="976">
        <f>SUM(I19:I26)</f>
        <v>6605.99</v>
      </c>
      <c r="J27" s="1984"/>
      <c r="K27" s="2617">
        <f>SUM(K19:K26)</f>
        <v>6605.99</v>
      </c>
      <c r="L27" s="2618">
        <f>SUM(L19:L26)</f>
        <v>0</v>
      </c>
      <c r="M27" s="2619">
        <f>SUM(M19:M26)</f>
        <v>6605.99</v>
      </c>
      <c r="N27" s="2617">
        <f t="shared" ref="N27:O27" si="10">SUM(N19:N26)</f>
        <v>0</v>
      </c>
      <c r="O27" s="2618">
        <f t="shared" si="10"/>
        <v>0</v>
      </c>
      <c r="P27" s="2620">
        <f>SUM(P19:P26)</f>
        <v>0</v>
      </c>
      <c r="R27" s="2305">
        <f>IF(SUM(R19:R26)=$D$3,SUM(R19:R26),SUM(R19:R26)&amp;"误差"&amp;ROUND(SUM(R19:R26)-$D$3,2))</f>
        <v>20439.419999999998</v>
      </c>
      <c r="S27" s="275" t="str">
        <f>IF(SUM(S19:S26)=$E$3,SUM(S19:S26),SUM(S19:S26)&amp;"误差"&amp;ROUND(SUM(S19:S26)-E3,2))</f>
        <v>51511.99误差-0.01</v>
      </c>
    </row>
    <row r="28" spans="1:19">
      <c r="A28" s="138"/>
      <c r="B28" s="115" t="s">
        <v>227</v>
      </c>
      <c r="C28" s="136" t="s">
        <v>228</v>
      </c>
      <c r="D28" s="111">
        <f>ROUND($D$3*E28/$E$3,2)</f>
        <v>2621.19</v>
      </c>
      <c r="E28" s="134">
        <f>SUM(F28:G28)</f>
        <v>6606</v>
      </c>
      <c r="F28" s="144">
        <f>'数据-基础表'!BQ5+'数据-基础表'!BS5</f>
        <v>1244</v>
      </c>
      <c r="G28" s="145">
        <f>'数据-基础表'!BR5+'数据-基础表'!BT5</f>
        <v>5362</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2621.19</v>
      </c>
      <c r="E30" s="134">
        <f>SUM(E28:E29)</f>
        <v>6606</v>
      </c>
      <c r="F30" s="134">
        <f>SUM(F28:F29)</f>
        <v>1244</v>
      </c>
      <c r="G30" s="112">
        <f>SUM(G28:G29)</f>
        <v>5362</v>
      </c>
      <c r="H30" s="1984"/>
      <c r="I30" s="1984"/>
      <c r="J30" s="1984"/>
      <c r="K30" s="1984"/>
      <c r="L30" s="1984"/>
    </row>
    <row r="31" spans="1:19" ht="32.25" customHeight="1" thickBot="1">
      <c r="A31" s="1369"/>
      <c r="B31" s="1370" t="s">
        <v>229</v>
      </c>
      <c r="C31" s="2330" t="s">
        <v>2323</v>
      </c>
      <c r="D31" s="1371">
        <f>D27+D30</f>
        <v>20439.419999999998</v>
      </c>
      <c r="E31" s="1371">
        <f>E27+E30</f>
        <v>51512</v>
      </c>
      <c r="F31" s="1372">
        <f>F27+F30</f>
        <v>17295</v>
      </c>
      <c r="G31" s="1373">
        <f>G27+G30</f>
        <v>34217</v>
      </c>
      <c r="H31" s="1984"/>
      <c r="I31" s="1984"/>
      <c r="J31" s="1984"/>
      <c r="K31" s="1984"/>
      <c r="L31" s="1984"/>
    </row>
    <row r="32" spans="1:19">
      <c r="A32" s="1984"/>
      <c r="B32" s="2363" t="s">
        <v>2322</v>
      </c>
      <c r="C32" s="2647"/>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H29" sqref="H2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43402</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2827</v>
      </c>
      <c r="O5" s="163" t="s">
        <v>246</v>
      </c>
      <c r="P5" s="165" t="s">
        <v>247</v>
      </c>
      <c r="Q5" s="166" t="s">
        <v>248</v>
      </c>
      <c r="R5" s="167" t="s">
        <v>249</v>
      </c>
      <c r="S5" s="2621" t="s">
        <v>2572</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391" t="s">
        <v>2373</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商业</v>
      </c>
      <c r="B6" s="2337" t="str">
        <f>IF(A6=0,"","经营性")</f>
        <v>经营性</v>
      </c>
      <c r="C6" s="173" t="s">
        <v>2985</v>
      </c>
      <c r="D6" s="2308">
        <f>SUMIF(项目基本情况!D$15:I$15,C6,项目基本情况!D$18:I$18)</f>
        <v>40</v>
      </c>
      <c r="E6" s="2309">
        <f>IF(B6="","",SUMIF(项目基本情况!D$15:I$15,C6,项目基本情况!D$17:I$17))</f>
        <v>57486</v>
      </c>
      <c r="F6" s="174">
        <f>SUMIF(项目基本情况!D$15:I$15,C6,项目基本情况!D$19:I$19)</f>
        <v>38.58</v>
      </c>
      <c r="G6" s="175">
        <f>IF(ISERROR(ROUND(POWER(1+H6,D6-F6)*(POWER(1+H6,F6)-1)/(POWER(1+H6,D6)-1),3)),0,ROUND(POWER(1+H6,D6-F6)*(POWER(1+H6,F6)-1)/(POWER(1+H6,D6)-1),3))</f>
        <v>0.98799999999999999</v>
      </c>
      <c r="H6" s="3026">
        <v>0.05</v>
      </c>
      <c r="I6" s="3026">
        <v>5.5E-2</v>
      </c>
      <c r="J6" s="176"/>
      <c r="K6" s="179">
        <f>SUMIF('数据-汇总表'!C$19:C$33,'数据-取费表'!A6,'数据-汇总表'!E$19:E$33)</f>
        <v>6098</v>
      </c>
      <c r="L6" s="3027">
        <v>3500</v>
      </c>
      <c r="M6" s="177">
        <f t="shared" ref="M6:M14" si="0">ROUND(K6*L6/10000,0)</f>
        <v>2134</v>
      </c>
      <c r="N6" s="3028">
        <v>0</v>
      </c>
      <c r="O6" s="177">
        <f>IF($N$5="成新度","——",ROUND(M6*N6,0))</f>
        <v>0</v>
      </c>
      <c r="P6" s="178">
        <f>IF($N$5="成新度","——",M6-O6)</f>
        <v>2134</v>
      </c>
      <c r="Q6" s="3029">
        <v>0.2</v>
      </c>
      <c r="R6" s="179">
        <f>SUMIF('数据-汇总表'!C$19:C$33,A6,'数据-汇总表'!R$19:R$33)</f>
        <v>2775.56</v>
      </c>
      <c r="S6" s="132">
        <f>IF('数据-汇总表'!$I$17="按面积比例",SUMIF('数据-汇总表'!C$19:C$33,A6,'数据-汇总表'!K$19:K$33),SUMIF('数据-汇总表'!C$19:C$33,A6,'数据-汇总表'!N$19:N$33))</f>
        <v>897.06</v>
      </c>
      <c r="T6" s="2234">
        <f>IF($T$4="按面积比例",IF(ISERROR(ROUND($M$14*S6/S$16,0)),"0",ROUND($M$14*S6/S$16,0)),"需自行计算录入")</f>
        <v>224</v>
      </c>
      <c r="U6" s="3503">
        <v>8</v>
      </c>
      <c r="V6" s="3504">
        <v>0.03</v>
      </c>
      <c r="W6" s="3504">
        <v>0.1</v>
      </c>
      <c r="X6" s="2321"/>
      <c r="Y6" s="182">
        <v>1</v>
      </c>
      <c r="Z6" s="183"/>
      <c r="AA6" s="176"/>
      <c r="AB6" s="176"/>
      <c r="AC6" s="2324"/>
      <c r="AD6" s="184"/>
      <c r="AE6" s="972">
        <f ca="1">IF(AN6="",0,SUMIF(INDIRECT("'"&amp;AN6&amp;"'"&amp;"!E:E"),$AE$5,INDIRECT("'"&amp;AN6&amp;"'"&amp;"!F:F")))</f>
        <v>36.58</v>
      </c>
      <c r="AF6" s="141"/>
      <c r="AG6" s="1213">
        <f>IF(AF6="",0,AE6-AF6)</f>
        <v>0</v>
      </c>
      <c r="AH6" s="141"/>
      <c r="AI6" s="187">
        <v>365</v>
      </c>
      <c r="AJ6" s="188"/>
      <c r="AK6" s="189">
        <v>1.4999999999999999E-2</v>
      </c>
      <c r="AL6" s="190">
        <v>1.5E-3</v>
      </c>
      <c r="AM6" s="3040">
        <v>0.01</v>
      </c>
      <c r="AN6" s="2392" t="s">
        <v>3410</v>
      </c>
      <c r="AO6" s="2000"/>
      <c r="AP6" s="1204">
        <f>ROUND(1-1/(1+H6)^F6,3)</f>
        <v>0.84799999999999998</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体育设施</v>
      </c>
      <c r="B7" s="2337" t="str">
        <f t="shared" ref="B7:B13" si="1">IF(A7=0,"","经营性")</f>
        <v>经营性</v>
      </c>
      <c r="C7" s="173" t="s">
        <v>2985</v>
      </c>
      <c r="D7" s="2308">
        <f>SUMIF(项目基本情况!D$15:I$15,C7,项目基本情况!D$18:I$18)</f>
        <v>40</v>
      </c>
      <c r="E7" s="2309">
        <f>IF(B7="","",SUMIF(项目基本情况!D$15:I$15,C7,项目基本情况!D$17:I$17))</f>
        <v>57486</v>
      </c>
      <c r="F7" s="174">
        <f>SUMIF(项目基本情况!D$15:I$15,C7,项目基本情况!D$19:I$19)</f>
        <v>38.58</v>
      </c>
      <c r="G7" s="175">
        <f t="shared" ref="G7:G11" si="2">IF(ISERROR(ROUND(POWER(1+H7,D7-F7)*(POWER(1+H7,F7)-1)/(POWER(1+H7,D7)-1),3)),0,ROUND(POWER(1+H7,D7-F7)*(POWER(1+H7,F7)-1)/(POWER(1+H7,D7)-1),3))</f>
        <v>0.98799999999999999</v>
      </c>
      <c r="H7" s="3026">
        <f>H6</f>
        <v>0.05</v>
      </c>
      <c r="I7" s="3026">
        <f>I6</f>
        <v>5.5E-2</v>
      </c>
      <c r="J7" s="176"/>
      <c r="K7" s="179">
        <f>SUMIF('数据-汇总表'!C$19:C$33,'数据-取费表'!A7,'数据-汇总表'!E$19:E$33)</f>
        <v>6256</v>
      </c>
      <c r="L7" s="3027">
        <f>L6</f>
        <v>3500</v>
      </c>
      <c r="M7" s="177">
        <f t="shared" si="0"/>
        <v>2190</v>
      </c>
      <c r="N7" s="3028">
        <f>N6</f>
        <v>0</v>
      </c>
      <c r="O7" s="177">
        <f t="shared" ref="O7:O14" si="3">IF($N$5="成新度","——",ROUND(M7*N7,0))</f>
        <v>0</v>
      </c>
      <c r="P7" s="178">
        <f t="shared" ref="P7:P14" si="4">IF($N$5="成新度","——",M7-O7)</f>
        <v>2190</v>
      </c>
      <c r="Q7" s="3029">
        <v>0.15</v>
      </c>
      <c r="R7" s="179">
        <f>SUMIF('数据-汇总表'!C$19:C$33,A7,'数据-汇总表'!R$19:R$33)</f>
        <v>2847.4900000000002</v>
      </c>
      <c r="S7" s="132">
        <f>IF('数据-汇总表'!$I$17="按面积比例",SUMIF('数据-汇总表'!C$19:C$33,A7,'数据-汇总表'!K$19:K$33),SUMIF('数据-汇总表'!C$19:C$33,A7,'数据-汇总表'!N$19:N$33))</f>
        <v>920.3</v>
      </c>
      <c r="T7" s="2234">
        <f t="shared" ref="T7:T13" si="5">IF($T$4="按面积比例",IF(ISERROR(ROUND($M$14*S7/S$16,0)),"0",ROUND($M$14*S7/S$16,0)),"需自行计算录入")</f>
        <v>230</v>
      </c>
      <c r="U7" s="3503">
        <v>6</v>
      </c>
      <c r="V7" s="3504">
        <f>V6</f>
        <v>0.03</v>
      </c>
      <c r="W7" s="3504">
        <f>W6</f>
        <v>0.1</v>
      </c>
      <c r="X7" s="2321"/>
      <c r="Y7" s="182">
        <f>Y6</f>
        <v>1</v>
      </c>
      <c r="Z7" s="183"/>
      <c r="AA7" s="176"/>
      <c r="AB7" s="176"/>
      <c r="AC7" s="2324"/>
      <c r="AD7" s="184"/>
      <c r="AE7" s="972">
        <f t="shared" ref="AE7:AE13" ca="1" si="6">IF(AN7="",0,SUMIF(INDIRECT("'"&amp;AN7&amp;"'"&amp;"!E:E"),$AE$5,INDIRECT("'"&amp;AN7&amp;"'"&amp;"!F:F")))</f>
        <v>36.58</v>
      </c>
      <c r="AF7" s="141"/>
      <c r="AG7" s="1213">
        <f t="shared" ref="AG7:AG13" si="7">IF(AF7="",0,AE7-AF7)</f>
        <v>0</v>
      </c>
      <c r="AH7" s="141"/>
      <c r="AI7" s="187">
        <v>365</v>
      </c>
      <c r="AJ7" s="188"/>
      <c r="AK7" s="189">
        <f>AK6</f>
        <v>1.4999999999999999E-2</v>
      </c>
      <c r="AL7" s="189">
        <f>AL6</f>
        <v>1.5E-3</v>
      </c>
      <c r="AM7" s="189">
        <f>AM6</f>
        <v>0.01</v>
      </c>
      <c r="AN7" s="2392" t="s">
        <v>3411</v>
      </c>
      <c r="AO7" s="2000"/>
      <c r="AP7" s="1204">
        <f t="shared" ref="AP7:AP13" si="8">ROUND(1-1/(1+H7)^F7,3)</f>
        <v>0.84799999999999998</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教育培训</v>
      </c>
      <c r="B8" s="2337" t="str">
        <f t="shared" si="1"/>
        <v>经营性</v>
      </c>
      <c r="C8" s="173" t="s">
        <v>2985</v>
      </c>
      <c r="D8" s="2308">
        <f>SUMIF(项目基本情况!D$15:I$15,C8,项目基本情况!D$18:I$18)</f>
        <v>40</v>
      </c>
      <c r="E8" s="2309">
        <f>IF(B8="","",SUMIF(项目基本情况!D$15:I$15,C8,项目基本情况!D$17:I$17))</f>
        <v>57486</v>
      </c>
      <c r="F8" s="174">
        <f>SUMIF(项目基本情况!D$15:I$15,C8,项目基本情况!D$19:I$19)</f>
        <v>38.58</v>
      </c>
      <c r="G8" s="175">
        <f t="shared" si="2"/>
        <v>0.98799999999999999</v>
      </c>
      <c r="H8" s="3026">
        <f>H6</f>
        <v>0.05</v>
      </c>
      <c r="I8" s="3026">
        <f>I6</f>
        <v>5.5E-2</v>
      </c>
      <c r="J8" s="176"/>
      <c r="K8" s="179">
        <f>SUMIF('数据-汇总表'!C$19:C$33,'数据-取费表'!A8,'数据-汇总表'!E$19:E$33)</f>
        <v>3697</v>
      </c>
      <c r="L8" s="3027">
        <f>L6</f>
        <v>3500</v>
      </c>
      <c r="M8" s="177">
        <f>ROUND(K8*L8/10000,0)</f>
        <v>1294</v>
      </c>
      <c r="N8" s="3028">
        <f>N6</f>
        <v>0</v>
      </c>
      <c r="O8" s="177">
        <f t="shared" si="3"/>
        <v>0</v>
      </c>
      <c r="P8" s="178">
        <f t="shared" si="4"/>
        <v>1294</v>
      </c>
      <c r="Q8" s="3029">
        <f>Q7</f>
        <v>0.15</v>
      </c>
      <c r="R8" s="179">
        <f>SUMIF('数据-汇总表'!C$19:C$33,A8,'数据-汇总表'!R$19:R$33)</f>
        <v>1682.73</v>
      </c>
      <c r="S8" s="132">
        <f>IF('数据-汇总表'!$I$17="按面积比例",SUMIF('数据-汇总表'!C$19:C$33,A8,'数据-汇总表'!K$19:K$33),SUMIF('数据-汇总表'!C$19:C$33,A8,'数据-汇总表'!N$19:N$33))</f>
        <v>543.86</v>
      </c>
      <c r="T8" s="2234">
        <f t="shared" si="5"/>
        <v>136</v>
      </c>
      <c r="U8" s="3503">
        <v>6</v>
      </c>
      <c r="V8" s="3504">
        <f>V6</f>
        <v>0.03</v>
      </c>
      <c r="W8" s="3504">
        <f>W6</f>
        <v>0.1</v>
      </c>
      <c r="X8" s="2321"/>
      <c r="Y8" s="182">
        <f>Y6</f>
        <v>1</v>
      </c>
      <c r="Z8" s="183"/>
      <c r="AA8" s="176"/>
      <c r="AB8" s="176"/>
      <c r="AC8" s="2324"/>
      <c r="AD8" s="184"/>
      <c r="AE8" s="972">
        <f t="shared" ca="1" si="6"/>
        <v>36.58</v>
      </c>
      <c r="AF8" s="141"/>
      <c r="AG8" s="1213">
        <f t="shared" si="7"/>
        <v>0</v>
      </c>
      <c r="AH8" s="141"/>
      <c r="AI8" s="187">
        <v>365</v>
      </c>
      <c r="AJ8" s="188"/>
      <c r="AK8" s="189">
        <f>AK6</f>
        <v>1.4999999999999999E-2</v>
      </c>
      <c r="AL8" s="189">
        <f>AL6</f>
        <v>1.5E-3</v>
      </c>
      <c r="AM8" s="189">
        <f>AM6</f>
        <v>0.01</v>
      </c>
      <c r="AN8" s="2392" t="s">
        <v>3412</v>
      </c>
      <c r="AO8" s="2000"/>
      <c r="AP8" s="1204">
        <f t="shared" si="8"/>
        <v>0.84799999999999998</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t="str">
        <f>'数据-汇总表'!C22</f>
        <v>冰场</v>
      </c>
      <c r="B9" s="2337" t="str">
        <f t="shared" si="1"/>
        <v>经营性</v>
      </c>
      <c r="C9" s="173" t="s">
        <v>2985</v>
      </c>
      <c r="D9" s="2308">
        <f>SUMIF(项目基本情况!D$15:I$15,C9,项目基本情况!D$18:I$18)</f>
        <v>40</v>
      </c>
      <c r="E9" s="2309">
        <f>IF(B9="","",SUMIF(项目基本情况!D$15:I$15,C9,项目基本情况!D$17:I$17))</f>
        <v>57486</v>
      </c>
      <c r="F9" s="174">
        <f>SUMIF(项目基本情况!D$15:I$15,C9,项目基本情况!D$19:I$19)</f>
        <v>38.58</v>
      </c>
      <c r="G9" s="175">
        <f t="shared" si="2"/>
        <v>0.98799999999999999</v>
      </c>
      <c r="H9" s="176">
        <f>H6</f>
        <v>0.05</v>
      </c>
      <c r="I9" s="176">
        <f>I6</f>
        <v>5.5E-2</v>
      </c>
      <c r="J9" s="176"/>
      <c r="K9" s="179">
        <f>SUMIF('数据-汇总表'!C$19:C$33,'数据-取费表'!A9,'数据-汇总表'!E$19:E$33)</f>
        <v>6546</v>
      </c>
      <c r="L9" s="3027">
        <v>4500</v>
      </c>
      <c r="M9" s="177">
        <f t="shared" si="0"/>
        <v>2946</v>
      </c>
      <c r="N9" s="194">
        <f>N6</f>
        <v>0</v>
      </c>
      <c r="O9" s="177">
        <f t="shared" si="3"/>
        <v>0</v>
      </c>
      <c r="P9" s="178">
        <f t="shared" si="4"/>
        <v>2946</v>
      </c>
      <c r="Q9" s="192">
        <v>0.1</v>
      </c>
      <c r="R9" s="179">
        <f>SUMIF('数据-汇总表'!C$19:C$33,A9,'数据-汇总表'!R$19:R$33)</f>
        <v>2979.4700000000003</v>
      </c>
      <c r="S9" s="132">
        <f>IF('数据-汇总表'!$I$17="按面积比例",SUMIF('数据-汇总表'!C$19:C$33,A9,'数据-汇总表'!K$19:K$33),SUMIF('数据-汇总表'!C$19:C$33,A9,'数据-汇总表'!N$19:N$33))</f>
        <v>962.96</v>
      </c>
      <c r="T9" s="2234">
        <f t="shared" si="5"/>
        <v>241</v>
      </c>
      <c r="U9" s="3503">
        <f>U6*U19</f>
        <v>3.2</v>
      </c>
      <c r="V9" s="3504">
        <f>V6</f>
        <v>0.03</v>
      </c>
      <c r="W9" s="3504">
        <f>W6</f>
        <v>0.1</v>
      </c>
      <c r="X9" s="2321"/>
      <c r="Y9" s="182">
        <f>Y6</f>
        <v>1</v>
      </c>
      <c r="Z9" s="183"/>
      <c r="AA9" s="176"/>
      <c r="AB9" s="176"/>
      <c r="AC9" s="2324"/>
      <c r="AD9" s="184"/>
      <c r="AE9" s="972">
        <f t="shared" ca="1" si="6"/>
        <v>36.58</v>
      </c>
      <c r="AF9" s="141"/>
      <c r="AG9" s="1213">
        <f t="shared" si="7"/>
        <v>0</v>
      </c>
      <c r="AH9" s="141"/>
      <c r="AI9" s="187">
        <v>365</v>
      </c>
      <c r="AJ9" s="188"/>
      <c r="AK9" s="189">
        <v>0.02</v>
      </c>
      <c r="AL9" s="189">
        <v>2E-3</v>
      </c>
      <c r="AM9" s="189">
        <v>0.02</v>
      </c>
      <c r="AN9" s="2392" t="s">
        <v>3413</v>
      </c>
      <c r="AO9" s="2000"/>
      <c r="AP9" s="1204">
        <f t="shared" si="8"/>
        <v>0.84799999999999998</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t="str">
        <f>'数据-汇总表'!C23</f>
        <v>车库</v>
      </c>
      <c r="B10" s="2337" t="str">
        <f t="shared" si="1"/>
        <v>经营性</v>
      </c>
      <c r="C10" s="173" t="s">
        <v>3015</v>
      </c>
      <c r="D10" s="2308">
        <f>SUMIF(项目基本情况!D$15:I$15,C10,项目基本情况!D$18:I$18)</f>
        <v>50</v>
      </c>
      <c r="E10" s="2309">
        <f>IF(B10="","",SUMIF(项目基本情况!D$15:I$15,C10,项目基本情况!D$17:I$17))</f>
        <v>61138</v>
      </c>
      <c r="F10" s="174">
        <f>SUMIF(项目基本情况!D$15:I$15,C10,项目基本情况!D$19:I$19)</f>
        <v>48.59</v>
      </c>
      <c r="G10" s="175">
        <f t="shared" si="2"/>
        <v>0.99199999999999999</v>
      </c>
      <c r="H10" s="176">
        <v>4.4999999999999998E-2</v>
      </c>
      <c r="I10" s="176">
        <v>0.05</v>
      </c>
      <c r="J10" s="176"/>
      <c r="K10" s="179">
        <f>SUMIF('数据-汇总表'!C$19:C$33,'数据-取费表'!A10,'数据-汇总表'!E$19:E$33)</f>
        <v>18791</v>
      </c>
      <c r="L10" s="193">
        <v>2500</v>
      </c>
      <c r="M10" s="177">
        <f t="shared" si="0"/>
        <v>4698</v>
      </c>
      <c r="N10" s="194">
        <f>N6</f>
        <v>0</v>
      </c>
      <c r="O10" s="177">
        <f t="shared" si="3"/>
        <v>0</v>
      </c>
      <c r="P10" s="178">
        <f t="shared" si="4"/>
        <v>4698</v>
      </c>
      <c r="Q10" s="192">
        <v>0.05</v>
      </c>
      <c r="R10" s="179">
        <f>SUMIF('数据-汇总表'!C$19:C$33,A10,'数据-汇总表'!R$19:R$33)</f>
        <v>8552.91</v>
      </c>
      <c r="S10" s="132">
        <f>IF('数据-汇总表'!$I$17="按面积比例",SUMIF('数据-汇总表'!C$19:C$33,A10,'数据-汇总表'!K$19:K$33),SUMIF('数据-汇总表'!C$19:C$33,A10,'数据-汇总表'!N$19:N$33))</f>
        <v>2764.29</v>
      </c>
      <c r="T10" s="2234">
        <f t="shared" si="5"/>
        <v>691</v>
      </c>
      <c r="U10" s="3503">
        <v>1500</v>
      </c>
      <c r="V10" s="3504">
        <v>2.5000000000000001E-2</v>
      </c>
      <c r="W10" s="3504">
        <f>W6</f>
        <v>0.1</v>
      </c>
      <c r="X10" s="2321"/>
      <c r="Y10" s="182">
        <f>Y6</f>
        <v>1</v>
      </c>
      <c r="Z10" s="183"/>
      <c r="AA10" s="176"/>
      <c r="AB10" s="176"/>
      <c r="AC10" s="2324"/>
      <c r="AD10" s="184"/>
      <c r="AE10" s="972">
        <f t="shared" ca="1" si="6"/>
        <v>46.59</v>
      </c>
      <c r="AF10" s="141"/>
      <c r="AG10" s="1213">
        <f t="shared" si="7"/>
        <v>0</v>
      </c>
      <c r="AH10" s="141">
        <v>422</v>
      </c>
      <c r="AI10" s="187">
        <v>12</v>
      </c>
      <c r="AJ10" s="188"/>
      <c r="AK10" s="189">
        <f>AK6</f>
        <v>1.4999999999999999E-2</v>
      </c>
      <c r="AL10" s="189">
        <f>AL6</f>
        <v>1.5E-3</v>
      </c>
      <c r="AM10" s="189">
        <f>AM6</f>
        <v>0.01</v>
      </c>
      <c r="AN10" s="2392" t="s">
        <v>3414</v>
      </c>
      <c r="AO10" s="2000"/>
      <c r="AP10" s="1204">
        <f t="shared" si="8"/>
        <v>0.88200000000000001</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t="str">
        <f>'数据-汇总表'!C24</f>
        <v>地下商业</v>
      </c>
      <c r="B11" s="2337" t="str">
        <f t="shared" si="1"/>
        <v>经营性</v>
      </c>
      <c r="C11" s="173" t="s">
        <v>2985</v>
      </c>
      <c r="D11" s="2308">
        <f>SUMIF(项目基本情况!D$15:I$15,C11,项目基本情况!D$18:I$18)</f>
        <v>40</v>
      </c>
      <c r="E11" s="2309">
        <f>IF(B11="","",SUMIF(项目基本情况!D$15:I$15,C11,项目基本情况!D$17:I$17))</f>
        <v>57486</v>
      </c>
      <c r="F11" s="174">
        <f>SUMIF(项目基本情况!D$15:I$15,C11,项目基本情况!D$19:I$19)</f>
        <v>38.58</v>
      </c>
      <c r="G11" s="175">
        <f t="shared" si="2"/>
        <v>0.98799999999999999</v>
      </c>
      <c r="H11" s="176">
        <f>H9</f>
        <v>0.05</v>
      </c>
      <c r="I11" s="176">
        <f>I9</f>
        <v>5.5E-2</v>
      </c>
      <c r="J11" s="176"/>
      <c r="K11" s="179">
        <f>SUMIF('数据-汇总表'!C$19:C$33,'数据-取费表'!A11,'数据-汇总表'!E$19:E$33)</f>
        <v>3518</v>
      </c>
      <c r="L11" s="193">
        <f>L8</f>
        <v>3500</v>
      </c>
      <c r="M11" s="177">
        <f t="shared" si="0"/>
        <v>1231</v>
      </c>
      <c r="N11" s="194">
        <f>N10</f>
        <v>0</v>
      </c>
      <c r="O11" s="177">
        <f t="shared" si="3"/>
        <v>0</v>
      </c>
      <c r="P11" s="178">
        <f t="shared" si="4"/>
        <v>1231</v>
      </c>
      <c r="Q11" s="192">
        <f>Q9</f>
        <v>0.1</v>
      </c>
      <c r="R11" s="179">
        <f>SUMIF('数据-汇总表'!C$19:C$33,A11,'数据-汇总表'!R$19:R$33)</f>
        <v>1601.26</v>
      </c>
      <c r="S11" s="132">
        <f>IF('数据-汇总表'!$I$17="按面积比例",SUMIF('数据-汇总表'!C$19:C$33,A11,'数据-汇总表'!K$19:K$33),SUMIF('数据-汇总表'!C$19:C$33,A11,'数据-汇总表'!N$19:N$33))</f>
        <v>517.52</v>
      </c>
      <c r="T11" s="2234">
        <f t="shared" si="5"/>
        <v>129</v>
      </c>
      <c r="U11" s="185">
        <f>ROUND(U6*U20,1)</f>
        <v>5.6</v>
      </c>
      <c r="V11" s="176">
        <f>V9</f>
        <v>0.03</v>
      </c>
      <c r="W11" s="176">
        <f>W9</f>
        <v>0.1</v>
      </c>
      <c r="X11" s="2324"/>
      <c r="Y11" s="182">
        <f>Y10</f>
        <v>1</v>
      </c>
      <c r="Z11" s="195"/>
      <c r="AA11" s="176"/>
      <c r="AB11" s="176"/>
      <c r="AC11" s="2324"/>
      <c r="AD11" s="184"/>
      <c r="AE11" s="972">
        <f t="shared" ca="1" si="6"/>
        <v>36.58</v>
      </c>
      <c r="AF11" s="141"/>
      <c r="AG11" s="1213">
        <f t="shared" si="7"/>
        <v>0</v>
      </c>
      <c r="AH11" s="141"/>
      <c r="AI11" s="187">
        <v>365</v>
      </c>
      <c r="AJ11" s="188"/>
      <c r="AK11" s="196">
        <f>AK10</f>
        <v>1.4999999999999999E-2</v>
      </c>
      <c r="AL11" s="197">
        <f>AL10</f>
        <v>1.5E-3</v>
      </c>
      <c r="AM11" s="1817">
        <f>AM10</f>
        <v>0.01</v>
      </c>
      <c r="AN11" s="2392" t="s">
        <v>3439</v>
      </c>
      <c r="AO11" s="2000"/>
      <c r="AP11" s="1204">
        <f t="shared" si="8"/>
        <v>0.84799999999999998</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92"/>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90"/>
      <c r="AN13" s="2392"/>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6606</v>
      </c>
      <c r="L14" s="193">
        <f>L10</f>
        <v>2500</v>
      </c>
      <c r="M14" s="177">
        <f t="shared" si="0"/>
        <v>1652</v>
      </c>
      <c r="N14" s="194">
        <f>N6</f>
        <v>0</v>
      </c>
      <c r="O14" s="177">
        <f t="shared" si="3"/>
        <v>0</v>
      </c>
      <c r="P14" s="178">
        <f t="shared" si="4"/>
        <v>1652</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0.99</v>
      </c>
      <c r="H16" s="203">
        <f>ROUND(SUMPRODUCT(H6:H13,K6:K13)/SUMPRODUCT((H6:H13&gt;0)*(K6:K13)),3)</f>
        <v>4.8000000000000001E-2</v>
      </c>
      <c r="I16" s="204"/>
      <c r="J16" s="204"/>
      <c r="K16" s="205">
        <f>SUM(K6:K15)</f>
        <v>51512</v>
      </c>
      <c r="L16" s="206">
        <f>ROUND(M16*10000/SUM(K6:K14),0)</f>
        <v>3134</v>
      </c>
      <c r="M16" s="206">
        <f>SUM(M6:M14)</f>
        <v>16145</v>
      </c>
      <c r="N16" s="207">
        <f>ROUND(SUMPRODUCT(M6:M14,N6:N14)/M16,3)</f>
        <v>0</v>
      </c>
      <c r="O16" s="206">
        <f>SUM(O6:O14)</f>
        <v>0</v>
      </c>
      <c r="P16" s="206">
        <f>SUM(P6:P14)</f>
        <v>16145</v>
      </c>
      <c r="Q16" s="208">
        <f>ROUND(SUMPRODUCT(Q6:Q13,K6:K13)/SUMPRODUCT((Q6:Q13&gt;0)*(K6:K13)),2)</f>
        <v>0.1</v>
      </c>
      <c r="R16" s="2311">
        <f>SUM(R6:R13)</f>
        <v>20439.419999999998</v>
      </c>
      <c r="S16" s="209">
        <f>SUM(S6:S13)</f>
        <v>6605.99</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0.86199999999999999</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t="s">
        <v>3008</v>
      </c>
      <c r="U17" s="1989">
        <v>1</v>
      </c>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t="s">
        <v>3010</v>
      </c>
      <c r="U18" s="1989">
        <v>1</v>
      </c>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2336</v>
      </c>
      <c r="D19" s="1993"/>
      <c r="E19" s="1992"/>
      <c r="F19" s="1992"/>
      <c r="G19" s="1992"/>
      <c r="H19" s="1992"/>
      <c r="I19" s="1992"/>
      <c r="J19" s="1992"/>
      <c r="K19" s="1991"/>
      <c r="L19" s="1991"/>
      <c r="M19" s="1989"/>
      <c r="N19" s="1989"/>
      <c r="O19" s="1989"/>
      <c r="P19" s="1989"/>
      <c r="Q19" s="1989"/>
      <c r="R19" s="1989"/>
      <c r="S19" s="1989"/>
      <c r="T19" s="1989" t="s">
        <v>3012</v>
      </c>
      <c r="U19" s="1989">
        <v>0.4</v>
      </c>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2</v>
      </c>
      <c r="C20" s="2364" t="s">
        <v>2335</v>
      </c>
      <c r="D20" s="1993"/>
      <c r="E20" s="1992"/>
      <c r="F20" s="1992"/>
      <c r="G20" s="1992"/>
      <c r="H20" s="1992"/>
      <c r="I20" s="1992"/>
      <c r="J20" s="1992"/>
      <c r="K20" s="1991"/>
      <c r="L20" s="1991"/>
      <c r="M20" s="1989"/>
      <c r="N20" s="1989"/>
      <c r="O20" s="1989"/>
      <c r="P20" s="1989"/>
      <c r="Q20" s="1989"/>
      <c r="R20" s="1989"/>
      <c r="S20" s="1989"/>
      <c r="T20" s="3206" t="s">
        <v>3437</v>
      </c>
      <c r="U20" s="1989">
        <v>0.7</v>
      </c>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2</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2</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2338</v>
      </c>
      <c r="B27" s="227"/>
      <c r="C27" s="2367" t="s">
        <v>2342</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2339</v>
      </c>
      <c r="B28" s="229">
        <v>200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2337</v>
      </c>
      <c r="B29" s="232"/>
      <c r="C29" s="1552" t="s">
        <v>2340</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7">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8">
        <v>0.03</v>
      </c>
      <c r="C33" s="2365" t="s">
        <v>2889</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65" t="s">
        <v>2890</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2891</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2892</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2893</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2893</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2456</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2457</v>
      </c>
      <c r="B40" s="2481">
        <f ca="1">存贷款利率!E2</f>
        <v>4.7500000000000001E-2</v>
      </c>
      <c r="C40" s="2365" t="s">
        <v>2341</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01">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2894</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2895</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2896</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v>0</v>
      </c>
      <c r="C47" s="3075" t="s">
        <v>2897</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76" t="s">
        <v>2898</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5.1999999999999995E-4</v>
      </c>
      <c r="C49" s="3076" t="s">
        <v>2899</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12</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925</v>
      </c>
      <c r="C53" s="3077" t="s">
        <v>2900</v>
      </c>
      <c r="D53" s="3078" t="s">
        <v>2901</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80" t="s">
        <v>2902</v>
      </c>
      <c r="B54" s="186"/>
      <c r="C54" s="1994">
        <v>30</v>
      </c>
      <c r="D54" s="3079"/>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80" t="s">
        <v>2903</v>
      </c>
      <c r="B55" s="186"/>
      <c r="C55" s="1994">
        <v>24</v>
      </c>
      <c r="D55" s="3079"/>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80" t="s">
        <v>2904</v>
      </c>
      <c r="B56" s="186"/>
      <c r="C56" s="1994">
        <v>18</v>
      </c>
      <c r="D56" s="3079"/>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80" t="s">
        <v>2905</v>
      </c>
      <c r="B57" s="3195">
        <v>12</v>
      </c>
      <c r="C57" s="1994">
        <v>12</v>
      </c>
      <c r="D57" s="3079"/>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80" t="s">
        <v>2906</v>
      </c>
      <c r="B58" s="186"/>
      <c r="C58" s="1994">
        <v>3</v>
      </c>
      <c r="D58" s="3079"/>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80" t="s">
        <v>2907</v>
      </c>
      <c r="B59" s="186"/>
      <c r="C59" s="1994">
        <v>1.5</v>
      </c>
      <c r="D59" s="3079"/>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80" t="s">
        <v>2908</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80" t="s">
        <v>2909</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80" t="s">
        <v>2910</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1" t="s">
        <v>2911</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90" priority="12" stopIfTrue="1" operator="containsText" text="自行计算">
      <formula>NOT(ISERROR(SEARCH("自行计算",T6)))</formula>
    </cfRule>
    <cfRule type="containsText" dxfId="189" priority="13" stopIfTrue="1" operator="containsText" text="自行计算">
      <formula>NOT(ISERROR(SEARCH("自行计算",T6)))</formula>
    </cfRule>
  </conditionalFormatting>
  <conditionalFormatting sqref="T6:T13">
    <cfRule type="containsText" dxfId="188" priority="10" stopIfTrue="1" operator="containsText" text="自行计算">
      <formula>NOT(ISERROR(SEARCH("自行计算",T6)))</formula>
    </cfRule>
    <cfRule type="containsText" dxfId="187" priority="11" stopIfTrue="1" operator="containsText" text="自行计算">
      <formula>NOT(ISERROR(SEARCH("自行计算",T6)))</formula>
    </cfRule>
  </conditionalFormatting>
  <conditionalFormatting sqref="T12:T13">
    <cfRule type="containsText" dxfId="186" priority="4" stopIfTrue="1" operator="containsText" text="自行计算">
      <formula>NOT(ISERROR(SEARCH("自行计算",T12)))</formula>
    </cfRule>
    <cfRule type="containsText" dxfId="185" priority="5" stopIfTrue="1" operator="containsText" text="自行计算">
      <formula>NOT(ISERROR(SEARCH("自行计算",T12)))</formula>
    </cfRule>
  </conditionalFormatting>
  <conditionalFormatting sqref="T12:T13">
    <cfRule type="containsText" dxfId="184" priority="2" stopIfTrue="1" operator="containsText" text="自行计算">
      <formula>NOT(ISERROR(SEARCH("自行计算",T12)))</formula>
    </cfRule>
    <cfRule type="containsText" dxfId="183" priority="3" stopIfTrue="1" operator="containsText" text="自行计算">
      <formula>NOT(ISERROR(SEARCH("自行计算",T12)))</formula>
    </cfRule>
  </conditionalFormatting>
  <conditionalFormatting sqref="T6:T15">
    <cfRule type="expression" dxfId="18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8" activePane="bottomRight" state="frozen"/>
      <selection activeCell="E29" sqref="E29"/>
      <selection pane="topRight" activeCell="E29" sqref="E29"/>
      <selection pane="bottomLeft" activeCell="E29" sqref="E29"/>
      <selection pane="bottomRight" activeCell="C23" sqref="C23"/>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94" t="s">
        <v>1664</v>
      </c>
      <c r="B1" s="3295"/>
      <c r="C1" s="3295"/>
      <c r="D1" s="3295"/>
      <c r="E1" s="3295"/>
      <c r="F1" s="3295"/>
      <c r="G1" s="3295"/>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42.75">
      <c r="A3" s="1227" t="s">
        <v>1667</v>
      </c>
      <c r="B3" s="1228" t="s">
        <v>1654</v>
      </c>
      <c r="C3" s="3082"/>
      <c r="D3" s="2009"/>
      <c r="E3" s="1229" t="s">
        <v>1667</v>
      </c>
      <c r="F3" s="1230" t="s">
        <v>1655</v>
      </c>
      <c r="G3" s="3086" t="s">
        <v>2916</v>
      </c>
      <c r="H3" s="2008"/>
      <c r="I3" s="2008"/>
      <c r="J3" s="2008"/>
      <c r="K3" s="2008"/>
      <c r="L3" s="2008"/>
      <c r="M3" s="2008"/>
      <c r="N3" s="2008"/>
      <c r="O3" s="2008"/>
      <c r="P3" s="2008"/>
      <c r="Q3" s="2008"/>
      <c r="R3" s="2008"/>
    </row>
    <row r="4" spans="1:18" ht="40.5">
      <c r="A4" s="1229"/>
      <c r="B4" s="1231" t="s">
        <v>1668</v>
      </c>
      <c r="C4" s="3191" t="s">
        <v>3400</v>
      </c>
      <c r="D4" s="2009"/>
      <c r="E4" s="1232"/>
      <c r="F4" s="1233" t="s">
        <v>1669</v>
      </c>
      <c r="G4" s="3084" t="s">
        <v>2913</v>
      </c>
      <c r="H4" s="2008"/>
      <c r="I4" s="2008"/>
      <c r="J4" s="2008"/>
      <c r="K4" s="2008"/>
      <c r="L4" s="2008"/>
      <c r="M4" s="2008"/>
      <c r="N4" s="2008"/>
      <c r="O4" s="2008"/>
      <c r="P4" s="2008"/>
      <c r="Q4" s="2008"/>
      <c r="R4" s="2008"/>
    </row>
    <row r="5" spans="1:18" ht="27">
      <c r="A5" s="1229"/>
      <c r="B5" s="1231" t="s">
        <v>1670</v>
      </c>
      <c r="C5" s="3083"/>
      <c r="D5" s="2009"/>
      <c r="E5" s="1232"/>
      <c r="F5" s="1231" t="s">
        <v>2546</v>
      </c>
      <c r="G5" s="3084" t="s">
        <v>2914</v>
      </c>
      <c r="H5" s="2008"/>
      <c r="I5" s="2008"/>
      <c r="J5" s="2008"/>
      <c r="K5" s="2008"/>
      <c r="L5" s="2008"/>
      <c r="M5" s="2008"/>
      <c r="N5" s="2008"/>
      <c r="O5" s="2008"/>
      <c r="P5" s="2008"/>
      <c r="Q5" s="2008"/>
      <c r="R5" s="2008"/>
    </row>
    <row r="6" spans="1:18" ht="27">
      <c r="A6" s="1229"/>
      <c r="B6" s="1231" t="s">
        <v>1656</v>
      </c>
      <c r="C6" s="3192" t="s">
        <v>3400</v>
      </c>
      <c r="D6" s="2009"/>
      <c r="E6" s="1232"/>
      <c r="F6" s="1231" t="s">
        <v>2547</v>
      </c>
      <c r="G6" s="3084" t="s">
        <v>2912</v>
      </c>
      <c r="H6" s="2008"/>
      <c r="I6" s="2008"/>
      <c r="J6" s="2008"/>
      <c r="K6" s="2008"/>
      <c r="L6" s="2008"/>
      <c r="M6" s="2008"/>
      <c r="N6" s="2008"/>
      <c r="O6" s="2008"/>
      <c r="P6" s="2008"/>
      <c r="Q6" s="2008"/>
      <c r="R6" s="2008"/>
    </row>
    <row r="7" spans="1:18" ht="41.25" thickBot="1">
      <c r="A7" s="1229"/>
      <c r="B7" s="1231" t="s">
        <v>2546</v>
      </c>
      <c r="C7" s="3192" t="s">
        <v>3400</v>
      </c>
      <c r="D7" s="2010"/>
      <c r="E7" s="1234"/>
      <c r="F7" s="1235" t="s">
        <v>1671</v>
      </c>
      <c r="G7" s="3087" t="s">
        <v>2915</v>
      </c>
      <c r="H7" s="2008"/>
      <c r="I7" s="2008"/>
      <c r="J7" s="2008"/>
      <c r="K7" s="2008"/>
      <c r="L7" s="2008"/>
      <c r="M7" s="2008"/>
      <c r="N7" s="2008"/>
      <c r="O7" s="2008"/>
      <c r="P7" s="2008"/>
      <c r="Q7" s="2008"/>
      <c r="R7" s="2008"/>
    </row>
    <row r="8" spans="1:18">
      <c r="A8" s="1229"/>
      <c r="B8" s="1231" t="s">
        <v>2547</v>
      </c>
      <c r="C8" s="3192" t="s">
        <v>3401</v>
      </c>
      <c r="D8" s="2010"/>
      <c r="E8" s="2010"/>
      <c r="F8" s="1553"/>
      <c r="G8" s="1553"/>
      <c r="H8" s="2008"/>
      <c r="I8" s="2008"/>
      <c r="J8" s="2008"/>
      <c r="K8" s="2008"/>
      <c r="L8" s="2008"/>
      <c r="M8" s="2008"/>
      <c r="N8" s="2008"/>
      <c r="O8" s="2008"/>
      <c r="P8" s="2008"/>
      <c r="Q8" s="2008"/>
      <c r="R8" s="2008"/>
    </row>
    <row r="9" spans="1:18">
      <c r="A9" s="1229"/>
      <c r="B9" s="1231" t="s">
        <v>1657</v>
      </c>
      <c r="C9" s="3191" t="s">
        <v>3400</v>
      </c>
      <c r="D9" s="2009"/>
      <c r="E9" s="2010"/>
      <c r="F9" s="1553"/>
      <c r="G9" s="1553"/>
      <c r="H9" s="2008"/>
      <c r="I9" s="2008"/>
      <c r="J9" s="2008"/>
      <c r="K9" s="2008"/>
      <c r="L9" s="2008"/>
      <c r="M9" s="2008"/>
      <c r="N9" s="2008"/>
      <c r="O9" s="2008"/>
      <c r="P9" s="2008"/>
      <c r="Q9" s="2008"/>
      <c r="R9" s="2008"/>
    </row>
    <row r="10" spans="1:18" s="2016" customFormat="1" ht="15" thickBot="1">
      <c r="A10" s="1236"/>
      <c r="B10" s="1237" t="s">
        <v>1672</v>
      </c>
      <c r="C10" s="3085"/>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1673</v>
      </c>
      <c r="B13" s="2578"/>
      <c r="C13" s="2578"/>
      <c r="D13" s="1224"/>
      <c r="E13" s="2578"/>
      <c r="F13" s="2578"/>
      <c r="G13" s="2578"/>
    </row>
    <row r="14" spans="1:18" ht="14.25" thickBot="1">
      <c r="A14" s="1238"/>
      <c r="B14" s="1239"/>
      <c r="C14" s="1240" t="s">
        <v>1665</v>
      </c>
      <c r="D14" s="2009"/>
      <c r="E14" s="1241"/>
      <c r="F14" s="1241"/>
      <c r="G14" s="1223" t="s">
        <v>1666</v>
      </c>
    </row>
    <row r="15" spans="1:18" ht="40.5">
      <c r="A15" s="2588" t="s">
        <v>1658</v>
      </c>
      <c r="B15" s="1242" t="s">
        <v>1654</v>
      </c>
      <c r="C15" s="1243">
        <f>C3</f>
        <v>0</v>
      </c>
      <c r="D15" s="2009"/>
      <c r="E15" s="2585" t="s">
        <v>1659</v>
      </c>
      <c r="F15" s="1242" t="s">
        <v>1674</v>
      </c>
      <c r="G15" s="1244" t="str">
        <f>G3</f>
        <v>估价对象位于XX开发区，园区建设成熟度XX，产业集聚程度XX</v>
      </c>
    </row>
    <row r="16" spans="1:18" ht="40.5">
      <c r="A16" s="2589"/>
      <c r="B16" s="1245" t="s">
        <v>1668</v>
      </c>
      <c r="C16" s="1246" t="str">
        <f>C4</f>
        <v>较好</v>
      </c>
      <c r="D16" s="2009"/>
      <c r="E16" s="2586"/>
      <c r="F16" s="1247" t="s">
        <v>1669</v>
      </c>
      <c r="G16" s="1005" t="str">
        <f>G4</f>
        <v>估价对象周边道路状况、公共交通通达情况、停车便捷程度，综合评价交通便捷度较好</v>
      </c>
    </row>
    <row r="17" spans="1:7" ht="14.25">
      <c r="A17" s="2589"/>
      <c r="B17" s="1245" t="s">
        <v>1670</v>
      </c>
      <c r="C17" s="1246">
        <f>C5</f>
        <v>0</v>
      </c>
      <c r="D17" s="2010"/>
      <c r="E17" s="2586"/>
      <c r="F17" s="1247" t="s">
        <v>1675</v>
      </c>
      <c r="G17" s="2794"/>
    </row>
    <row r="18" spans="1:7" ht="40.5">
      <c r="A18" s="2589"/>
      <c r="B18" s="1247" t="s">
        <v>1656</v>
      </c>
      <c r="C18" s="1005" t="str">
        <f>C6</f>
        <v>较好</v>
      </c>
      <c r="D18" s="2010"/>
      <c r="E18" s="2586"/>
      <c r="F18" s="1247" t="s">
        <v>1671</v>
      </c>
      <c r="G18" s="1005" t="str">
        <f>G7</f>
        <v>该园区内是否有污染型企业，绿化情况，卫生条件，整体环境状况判断</v>
      </c>
    </row>
    <row r="19" spans="1:7" ht="27">
      <c r="A19" s="2589"/>
      <c r="B19" s="1247" t="s">
        <v>1660</v>
      </c>
      <c r="C19" s="3193" t="s">
        <v>3402</v>
      </c>
      <c r="D19" s="2009"/>
      <c r="E19" s="2586"/>
      <c r="F19" s="1231" t="s">
        <v>2546</v>
      </c>
      <c r="G19" s="1005" t="str">
        <f>G5</f>
        <v>估价对象所在区域公共配套设施齐备情况</v>
      </c>
    </row>
    <row r="20" spans="1:7" ht="27">
      <c r="A20" s="2589"/>
      <c r="B20" s="1247" t="s">
        <v>1661</v>
      </c>
      <c r="C20" s="1246" t="str">
        <f>C9</f>
        <v>较好</v>
      </c>
      <c r="D20" s="2010"/>
      <c r="E20" s="2586"/>
      <c r="F20" s="1231" t="s">
        <v>2547</v>
      </c>
      <c r="G20" s="1005" t="str">
        <f>G6</f>
        <v>估价对象所在区域基础设施水平</v>
      </c>
    </row>
    <row r="21" spans="1:7" ht="14.25">
      <c r="A21" s="2589"/>
      <c r="B21" s="1231" t="s">
        <v>2546</v>
      </c>
      <c r="C21" s="1005" t="str">
        <f>C7</f>
        <v>较好</v>
      </c>
      <c r="D21" s="2009"/>
      <c r="E21" s="2586"/>
      <c r="F21" s="1247" t="s">
        <v>1662</v>
      </c>
      <c r="G21" s="3088"/>
    </row>
    <row r="22" spans="1:7" ht="14.25">
      <c r="A22" s="2589"/>
      <c r="B22" s="1231" t="s">
        <v>2547</v>
      </c>
      <c r="C22" s="1005" t="str">
        <f>C8</f>
        <v>七通</v>
      </c>
      <c r="D22" s="2009"/>
      <c r="E22" s="2586"/>
      <c r="F22" s="1247" t="s">
        <v>1672</v>
      </c>
      <c r="G22" s="2794"/>
    </row>
    <row r="23" spans="1:7" ht="15" thickBot="1">
      <c r="A23" s="2589"/>
      <c r="B23" s="1247" t="s">
        <v>1662</v>
      </c>
      <c r="C23" s="3088" t="s">
        <v>3403</v>
      </c>
      <c r="E23" s="2587"/>
      <c r="F23" s="1248" t="s">
        <v>1676</v>
      </c>
      <c r="G23" s="3089"/>
    </row>
    <row r="24" spans="1:7" ht="14.25" thickBot="1">
      <c r="A24" s="2590"/>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4" sqref="D14"/>
    </sheetView>
  </sheetViews>
  <sheetFormatPr defaultColWidth="14.625" defaultRowHeight="13.5"/>
  <cols>
    <col min="1" max="1" width="24.375" customWidth="1"/>
  </cols>
  <sheetData>
    <row r="1" spans="1:9" ht="16.5">
      <c r="A1" s="3046" t="s">
        <v>2843</v>
      </c>
      <c r="B1" s="3046">
        <f>SUM(B14:B23)</f>
        <v>51512</v>
      </c>
      <c r="C1" s="3047"/>
      <c r="D1" s="3047"/>
      <c r="E1" s="3047"/>
      <c r="F1" s="3047"/>
    </row>
    <row r="2" spans="1:9" ht="16.5">
      <c r="A2" s="3046" t="s">
        <v>2844</v>
      </c>
      <c r="B2" s="3046">
        <f>SUM(C14:C23)</f>
        <v>20439.419999999998</v>
      </c>
      <c r="C2" s="3047"/>
      <c r="D2" s="3047"/>
      <c r="E2" s="3047"/>
      <c r="F2" s="3047"/>
    </row>
    <row r="3" spans="1:9" ht="16.5">
      <c r="A3" s="3046" t="s">
        <v>2845</v>
      </c>
      <c r="B3" s="3048">
        <f>项目基本情况!D3</f>
        <v>43402</v>
      </c>
      <c r="C3" s="3047"/>
      <c r="D3" s="3047"/>
      <c r="E3" s="3047"/>
      <c r="F3" s="3047"/>
    </row>
    <row r="4" spans="1:9" ht="33">
      <c r="A4" s="3046" t="s">
        <v>2846</v>
      </c>
      <c r="B4" s="3046" t="s">
        <v>2847</v>
      </c>
      <c r="C4" s="3046" t="s">
        <v>2848</v>
      </c>
      <c r="D4" s="3046" t="s">
        <v>2849</v>
      </c>
      <c r="E4" s="3047"/>
      <c r="F4" s="3047"/>
    </row>
    <row r="5" spans="1:9" ht="16.5">
      <c r="A5" s="3046" t="s">
        <v>2850</v>
      </c>
      <c r="B5" s="3046">
        <f ca="1">SUM(D14:D23)</f>
        <v>57306</v>
      </c>
      <c r="C5" s="3046">
        <f ca="1">ROUND(B5*10000/$B$1,0)</f>
        <v>11125</v>
      </c>
      <c r="D5" s="3046">
        <f ca="1">ROUND(B5*10000/$B$2,0)</f>
        <v>28037</v>
      </c>
      <c r="E5" s="3047"/>
      <c r="F5" s="3047"/>
    </row>
    <row r="6" spans="1:9" ht="16.5">
      <c r="A6" s="3046" t="s">
        <v>2851</v>
      </c>
      <c r="B6" s="3046">
        <f ca="1">SUM(G14:G23)</f>
        <v>51118</v>
      </c>
      <c r="C6" s="3046">
        <f t="shared" ref="C6:C8" ca="1" si="0">ROUND(B6*10000/$B$1,0)</f>
        <v>9924</v>
      </c>
      <c r="D6" s="3046">
        <f t="shared" ref="D6:D8" ca="1" si="1">ROUND(B6*10000/$B$2,0)</f>
        <v>25010</v>
      </c>
      <c r="E6" s="3047"/>
      <c r="F6" s="3047"/>
    </row>
    <row r="7" spans="1:9" ht="16.5">
      <c r="A7" s="3046" t="s">
        <v>2852</v>
      </c>
      <c r="B7" s="3046">
        <f>SUM(H14:H23)</f>
        <v>0</v>
      </c>
      <c r="C7" s="3046">
        <f t="shared" si="0"/>
        <v>0</v>
      </c>
      <c r="D7" s="3046">
        <f t="shared" si="1"/>
        <v>0</v>
      </c>
      <c r="E7" s="3047"/>
      <c r="F7" s="3047"/>
    </row>
    <row r="8" spans="1:9" ht="16.5">
      <c r="A8" s="3046" t="s">
        <v>2853</v>
      </c>
      <c r="B8" s="3046">
        <f>SUM(I14:I23)</f>
        <v>0</v>
      </c>
      <c r="C8" s="3046">
        <f t="shared" si="0"/>
        <v>0</v>
      </c>
      <c r="D8" s="3046">
        <f t="shared" si="1"/>
        <v>0</v>
      </c>
      <c r="E8" s="3047"/>
      <c r="F8" s="3047"/>
    </row>
    <row r="9" spans="1:9" ht="16.5">
      <c r="A9" s="3046" t="s">
        <v>2854</v>
      </c>
      <c r="B9" s="3049"/>
      <c r="C9" s="3047"/>
      <c r="D9" s="3047"/>
      <c r="E9" s="3047"/>
      <c r="F9" s="3047"/>
    </row>
    <row r="10" spans="1:9" ht="16.5">
      <c r="A10" s="3046" t="s">
        <v>2855</v>
      </c>
      <c r="B10" s="3049"/>
      <c r="C10" s="3047"/>
      <c r="D10" s="3047"/>
      <c r="E10" s="3047"/>
      <c r="F10" s="3047"/>
    </row>
    <row r="11" spans="1:9" ht="16.5">
      <c r="A11" s="3046" t="s">
        <v>2872</v>
      </c>
      <c r="B11" s="3049"/>
      <c r="C11" s="3047"/>
      <c r="D11" s="3047"/>
      <c r="E11" s="3047"/>
      <c r="F11" s="3047"/>
    </row>
    <row r="12" spans="1:9" ht="16.5">
      <c r="A12" s="3047"/>
      <c r="B12" s="3047"/>
      <c r="C12" s="3047"/>
      <c r="D12" s="3047"/>
      <c r="E12" s="3047"/>
      <c r="F12" s="3047"/>
    </row>
    <row r="13" spans="1:9" ht="33">
      <c r="A13" s="3052" t="s">
        <v>2871</v>
      </c>
      <c r="B13" s="3050" t="s">
        <v>2843</v>
      </c>
      <c r="C13" s="3050" t="s">
        <v>2844</v>
      </c>
      <c r="D13" s="3050" t="s">
        <v>2856</v>
      </c>
      <c r="E13" s="3046" t="s">
        <v>2870</v>
      </c>
      <c r="F13" s="3046" t="s">
        <v>2849</v>
      </c>
      <c r="G13" s="3050" t="s">
        <v>2857</v>
      </c>
      <c r="H13" s="3050" t="s">
        <v>2858</v>
      </c>
      <c r="I13" s="3050" t="s">
        <v>2859</v>
      </c>
    </row>
    <row r="14" spans="1:9" ht="16.5">
      <c r="A14" s="3053" t="s">
        <v>2869</v>
      </c>
      <c r="B14" s="3050">
        <f>结果表!L38</f>
        <v>51512</v>
      </c>
      <c r="C14" s="3050">
        <f>结果表!K38</f>
        <v>20439.419999999998</v>
      </c>
      <c r="D14" s="3050">
        <f ca="1">结果表!C42</f>
        <v>57306</v>
      </c>
      <c r="E14" s="3050">
        <f ca="1">ROUND(D14*10000/B14,0)</f>
        <v>11125</v>
      </c>
      <c r="F14" s="3050">
        <f ca="1">ROUND(D14*10000/C14,0)</f>
        <v>28037</v>
      </c>
      <c r="G14" s="3050">
        <f ca="1">结果表!C44</f>
        <v>51118</v>
      </c>
      <c r="H14" s="3050" t="str">
        <f>结果表!C45</f>
        <v>——</v>
      </c>
      <c r="I14" s="3050" t="str">
        <f>结果表!C46</f>
        <v>——</v>
      </c>
    </row>
    <row r="15" spans="1:9" ht="16.5">
      <c r="A15" s="3053" t="s">
        <v>2860</v>
      </c>
      <c r="B15" s="3054"/>
      <c r="C15" s="3054"/>
      <c r="D15" s="3054"/>
      <c r="E15" s="3050" t="e">
        <f t="shared" ref="E15:E23" si="2">ROUND(D15*10000/B15,0)</f>
        <v>#DIV/0!</v>
      </c>
      <c r="F15" s="3050" t="e">
        <f t="shared" ref="F15:F23" si="3">ROUND(D15*10000/C15,0)</f>
        <v>#DIV/0!</v>
      </c>
      <c r="G15" s="3051"/>
      <c r="H15" s="3051"/>
      <c r="I15" s="3054"/>
    </row>
    <row r="16" spans="1:9" ht="16.5">
      <c r="A16" s="3053" t="s">
        <v>2861</v>
      </c>
      <c r="B16" s="3054"/>
      <c r="C16" s="3054"/>
      <c r="D16" s="3054"/>
      <c r="E16" s="3050" t="e">
        <f t="shared" si="2"/>
        <v>#DIV/0!</v>
      </c>
      <c r="F16" s="3050" t="e">
        <f t="shared" si="3"/>
        <v>#DIV/0!</v>
      </c>
      <c r="G16" s="3051"/>
      <c r="H16" s="3051"/>
      <c r="I16" s="3054"/>
    </row>
    <row r="17" spans="1:9" ht="16.5">
      <c r="A17" s="3053" t="s">
        <v>2862</v>
      </c>
      <c r="B17" s="3054"/>
      <c r="C17" s="3054"/>
      <c r="D17" s="3054"/>
      <c r="E17" s="3050" t="e">
        <f t="shared" si="2"/>
        <v>#DIV/0!</v>
      </c>
      <c r="F17" s="3050" t="e">
        <f t="shared" si="3"/>
        <v>#DIV/0!</v>
      </c>
      <c r="G17" s="3051"/>
      <c r="H17" s="3051"/>
      <c r="I17" s="3054"/>
    </row>
    <row r="18" spans="1:9" ht="16.5">
      <c r="A18" s="3053" t="s">
        <v>2863</v>
      </c>
      <c r="B18" s="3054"/>
      <c r="C18" s="3054"/>
      <c r="D18" s="3054"/>
      <c r="E18" s="3050" t="e">
        <f t="shared" si="2"/>
        <v>#DIV/0!</v>
      </c>
      <c r="F18" s="3050" t="e">
        <f t="shared" si="3"/>
        <v>#DIV/0!</v>
      </c>
      <c r="G18" s="3054"/>
      <c r="H18" s="3054"/>
      <c r="I18" s="3054"/>
    </row>
    <row r="19" spans="1:9" ht="16.5">
      <c r="A19" s="3053" t="s">
        <v>2864</v>
      </c>
      <c r="B19" s="3054"/>
      <c r="C19" s="3054"/>
      <c r="D19" s="3054"/>
      <c r="E19" s="3050" t="e">
        <f t="shared" si="2"/>
        <v>#DIV/0!</v>
      </c>
      <c r="F19" s="3050" t="e">
        <f t="shared" si="3"/>
        <v>#DIV/0!</v>
      </c>
      <c r="G19" s="3054"/>
      <c r="H19" s="3054"/>
      <c r="I19" s="3054"/>
    </row>
    <row r="20" spans="1:9" ht="16.5">
      <c r="A20" s="3053" t="s">
        <v>2865</v>
      </c>
      <c r="B20" s="3054"/>
      <c r="C20" s="3054"/>
      <c r="D20" s="3054"/>
      <c r="E20" s="3050" t="e">
        <f t="shared" si="2"/>
        <v>#DIV/0!</v>
      </c>
      <c r="F20" s="3050" t="e">
        <f t="shared" si="3"/>
        <v>#DIV/0!</v>
      </c>
      <c r="G20" s="3054"/>
      <c r="H20" s="3054"/>
      <c r="I20" s="3054"/>
    </row>
    <row r="21" spans="1:9" ht="16.5">
      <c r="A21" s="3053" t="s">
        <v>2866</v>
      </c>
      <c r="B21" s="3054"/>
      <c r="C21" s="3054"/>
      <c r="D21" s="3054"/>
      <c r="E21" s="3050" t="e">
        <f t="shared" si="2"/>
        <v>#DIV/0!</v>
      </c>
      <c r="F21" s="3050" t="e">
        <f t="shared" si="3"/>
        <v>#DIV/0!</v>
      </c>
      <c r="G21" s="3054"/>
      <c r="H21" s="3054"/>
      <c r="I21" s="3054"/>
    </row>
    <row r="22" spans="1:9" ht="16.5">
      <c r="A22" s="3053" t="s">
        <v>2867</v>
      </c>
      <c r="B22" s="3054"/>
      <c r="C22" s="3054"/>
      <c r="D22" s="3054"/>
      <c r="E22" s="3050" t="e">
        <f t="shared" si="2"/>
        <v>#DIV/0!</v>
      </c>
      <c r="F22" s="3050" t="e">
        <f t="shared" si="3"/>
        <v>#DIV/0!</v>
      </c>
      <c r="G22" s="3054"/>
      <c r="H22" s="3054"/>
      <c r="I22" s="3054"/>
    </row>
    <row r="23" spans="1:9" ht="16.5">
      <c r="A23" s="3053" t="s">
        <v>2868</v>
      </c>
      <c r="B23" s="3054"/>
      <c r="C23" s="3054"/>
      <c r="D23" s="3054"/>
      <c r="E23" s="3046" t="e">
        <f t="shared" si="2"/>
        <v>#DIV/0!</v>
      </c>
      <c r="F23" s="3046" t="e">
        <f t="shared" si="3"/>
        <v>#DIV/0!</v>
      </c>
      <c r="G23" s="3054"/>
      <c r="H23" s="3054"/>
      <c r="I23" s="305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 zoomScaleNormal="100" zoomScaleSheetLayoutView="100" zoomScalePageLayoutView="80" workbookViewId="0">
      <selection activeCell="G27" sqref="G27"/>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t="s">
        <v>3426</v>
      </c>
      <c r="E1" s="1805" t="s">
        <v>2058</v>
      </c>
      <c r="F1" s="1807" t="s">
        <v>3427</v>
      </c>
      <c r="G1" s="311"/>
      <c r="H1" s="311"/>
      <c r="I1" s="311"/>
      <c r="J1" s="2029"/>
      <c r="K1" s="2029"/>
      <c r="L1" s="2029"/>
      <c r="M1" s="2029"/>
      <c r="N1" s="2029"/>
      <c r="O1" s="2029"/>
      <c r="P1" s="2029"/>
      <c r="Q1" s="2029"/>
      <c r="R1" s="2029"/>
      <c r="S1" s="2029"/>
      <c r="T1" s="2029"/>
      <c r="U1" s="2029"/>
      <c r="V1" s="2029"/>
    </row>
    <row r="2" spans="1:22" ht="21.75" customHeight="1" thickBot="1">
      <c r="A2" s="3332" t="str">
        <f>项目基本情况!K2</f>
        <v>北京市丰台区西三环南路16号商务金融用地出让国有建设用地使用权出让国有建设用地使用权</v>
      </c>
      <c r="B2" s="3333"/>
      <c r="C2" s="3334"/>
      <c r="D2" s="3334"/>
      <c r="E2" s="3334"/>
      <c r="F2" s="3334"/>
      <c r="G2" s="3333"/>
      <c r="H2" s="3333"/>
      <c r="I2" s="3335"/>
      <c r="J2" s="2030"/>
      <c r="K2" s="2029"/>
      <c r="L2" s="2029"/>
      <c r="M2" s="2029"/>
      <c r="N2" s="2029"/>
      <c r="O2" s="2029"/>
      <c r="P2" s="2029"/>
      <c r="Q2" s="2029"/>
      <c r="R2" s="2029"/>
      <c r="S2" s="2029"/>
      <c r="T2" s="2029"/>
      <c r="U2" s="2029"/>
      <c r="V2" s="2029"/>
    </row>
    <row r="3" spans="1:22" ht="14.25">
      <c r="A3" s="3325" t="s">
        <v>298</v>
      </c>
      <c r="B3" s="3326"/>
      <c r="C3" s="3326"/>
      <c r="D3" s="3326"/>
      <c r="E3" s="3326"/>
      <c r="F3" s="3326"/>
      <c r="G3" s="3326"/>
      <c r="H3" s="3326"/>
      <c r="I3" s="3326"/>
      <c r="J3" s="2030"/>
      <c r="K3" s="2029"/>
      <c r="L3" s="2029"/>
      <c r="M3" s="2029"/>
      <c r="N3" s="2029"/>
      <c r="O3" s="2029"/>
      <c r="P3" s="2029"/>
      <c r="Q3" s="2029"/>
      <c r="R3" s="2029"/>
      <c r="S3" s="2029"/>
      <c r="T3" s="2029"/>
      <c r="U3" s="2029"/>
      <c r="V3" s="2029"/>
    </row>
    <row r="4" spans="1:22" ht="14.25">
      <c r="A4" s="258" t="s">
        <v>299</v>
      </c>
      <c r="B4" s="259" t="s">
        <v>300</v>
      </c>
      <c r="C4" s="260" t="s">
        <v>3424</v>
      </c>
      <c r="D4" s="260" t="s">
        <v>3425</v>
      </c>
      <c r="E4" s="3297" t="s">
        <v>301</v>
      </c>
      <c r="F4" s="3298"/>
      <c r="G4" s="3298"/>
      <c r="H4" s="3298"/>
      <c r="I4" s="3327"/>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296" t="s">
        <v>302</v>
      </c>
      <c r="B5" s="3322">
        <v>25</v>
      </c>
      <c r="C5" s="3320"/>
      <c r="D5" s="3324"/>
      <c r="E5" s="261" t="s">
        <v>303</v>
      </c>
      <c r="F5" s="262"/>
      <c r="G5" s="262"/>
      <c r="H5" s="262"/>
      <c r="I5" s="263"/>
      <c r="J5" s="2030"/>
      <c r="K5" s="2029"/>
      <c r="L5" s="2029"/>
      <c r="M5" s="2029"/>
      <c r="N5" s="2029"/>
      <c r="O5" s="2029"/>
      <c r="P5" s="2029"/>
      <c r="Q5" s="2029"/>
      <c r="R5" s="2029"/>
      <c r="S5" s="2029"/>
      <c r="T5" s="2029"/>
      <c r="U5" s="2029"/>
      <c r="V5" s="2029"/>
    </row>
    <row r="6" spans="1:22" ht="14.25">
      <c r="A6" s="3296"/>
      <c r="B6" s="3322"/>
      <c r="C6" s="3323"/>
      <c r="D6" s="3324"/>
      <c r="E6" s="261" t="s">
        <v>304</v>
      </c>
      <c r="F6" s="262"/>
      <c r="G6" s="262"/>
      <c r="H6" s="262"/>
      <c r="I6" s="263"/>
      <c r="J6" s="2030"/>
      <c r="K6" s="2029"/>
      <c r="L6" s="2029"/>
      <c r="M6" s="2029"/>
      <c r="N6" s="2029"/>
      <c r="O6" s="2029"/>
      <c r="P6" s="2029"/>
      <c r="Q6" s="2029"/>
      <c r="R6" s="2029"/>
      <c r="S6" s="2029"/>
      <c r="T6" s="2029"/>
      <c r="U6" s="2029"/>
      <c r="V6" s="2029"/>
    </row>
    <row r="7" spans="1:22" ht="14.25">
      <c r="A7" s="3296"/>
      <c r="B7" s="3322"/>
      <c r="C7" s="3321"/>
      <c r="D7" s="3324"/>
      <c r="E7" s="261" t="s">
        <v>305</v>
      </c>
      <c r="F7" s="262"/>
      <c r="G7" s="262"/>
      <c r="H7" s="262"/>
      <c r="I7" s="263"/>
      <c r="J7" s="2030"/>
      <c r="K7" s="2029"/>
      <c r="L7" s="2029"/>
      <c r="M7" s="2029"/>
      <c r="N7" s="2029"/>
      <c r="O7" s="2029"/>
      <c r="P7" s="2029"/>
      <c r="Q7" s="2029"/>
      <c r="R7" s="2029"/>
      <c r="S7" s="2029"/>
      <c r="T7" s="2029"/>
      <c r="U7" s="2029"/>
      <c r="V7" s="2029"/>
    </row>
    <row r="8" spans="1:22" ht="14.25">
      <c r="A8" s="3296" t="s">
        <v>306</v>
      </c>
      <c r="B8" s="3322">
        <v>15</v>
      </c>
      <c r="C8" s="3320"/>
      <c r="D8" s="3324"/>
      <c r="E8" s="261" t="s">
        <v>307</v>
      </c>
      <c r="F8" s="262"/>
      <c r="G8" s="262"/>
      <c r="H8" s="262"/>
      <c r="I8" s="263"/>
      <c r="J8" s="2030"/>
      <c r="K8" s="2029"/>
      <c r="L8" s="2029"/>
      <c r="M8" s="2029"/>
      <c r="N8" s="2029"/>
      <c r="O8" s="2029"/>
      <c r="P8" s="2029"/>
      <c r="Q8" s="2029"/>
      <c r="R8" s="2029"/>
      <c r="S8" s="2029"/>
      <c r="T8" s="2029"/>
      <c r="U8" s="2029"/>
      <c r="V8" s="2029"/>
    </row>
    <row r="9" spans="1:22" ht="14.25">
      <c r="A9" s="3296"/>
      <c r="B9" s="3322"/>
      <c r="C9" s="3321"/>
      <c r="D9" s="3324"/>
      <c r="E9" s="261" t="s">
        <v>308</v>
      </c>
      <c r="F9" s="262"/>
      <c r="G9" s="262"/>
      <c r="H9" s="262"/>
      <c r="I9" s="263"/>
      <c r="J9" s="2030"/>
      <c r="K9" s="2029"/>
      <c r="L9" s="2029"/>
      <c r="M9" s="2029"/>
      <c r="N9" s="2029"/>
      <c r="O9" s="2029"/>
      <c r="P9" s="2029"/>
      <c r="Q9" s="2029"/>
      <c r="R9" s="2029"/>
      <c r="S9" s="2029"/>
      <c r="T9" s="2029"/>
      <c r="U9" s="2029"/>
      <c r="V9" s="2029"/>
    </row>
    <row r="10" spans="1:22" ht="14.25">
      <c r="A10" s="3296" t="s">
        <v>309</v>
      </c>
      <c r="B10" s="3322">
        <v>15</v>
      </c>
      <c r="C10" s="3320"/>
      <c r="D10" s="3324"/>
      <c r="E10" s="261" t="s">
        <v>310</v>
      </c>
      <c r="F10" s="262"/>
      <c r="G10" s="262"/>
      <c r="H10" s="262"/>
      <c r="I10" s="263"/>
      <c r="J10" s="2030"/>
      <c r="K10" s="2029"/>
      <c r="L10" s="2029"/>
      <c r="M10" s="2029"/>
      <c r="N10" s="2029"/>
      <c r="O10" s="2029"/>
      <c r="P10" s="2029"/>
      <c r="Q10" s="2029"/>
      <c r="R10" s="2029"/>
      <c r="S10" s="2029"/>
      <c r="T10" s="2029"/>
      <c r="U10" s="2029"/>
      <c r="V10" s="2029"/>
    </row>
    <row r="11" spans="1:22" ht="14.25">
      <c r="A11" s="3296"/>
      <c r="B11" s="3322"/>
      <c r="C11" s="3321"/>
      <c r="D11" s="3324"/>
      <c r="E11" s="261" t="s">
        <v>311</v>
      </c>
      <c r="F11" s="262"/>
      <c r="G11" s="262"/>
      <c r="H11" s="262"/>
      <c r="I11" s="263"/>
      <c r="J11" s="2030"/>
      <c r="K11" s="2029"/>
      <c r="L11" s="2029"/>
      <c r="M11" s="2029"/>
      <c r="N11" s="2029"/>
      <c r="O11" s="2029"/>
      <c r="P11" s="2029"/>
      <c r="Q11" s="2029"/>
      <c r="R11" s="2029"/>
      <c r="S11" s="2029"/>
      <c r="T11" s="2029"/>
      <c r="U11" s="2029"/>
      <c r="V11" s="2029"/>
    </row>
    <row r="12" spans="1:22" ht="14.25">
      <c r="A12" s="3296" t="s">
        <v>312</v>
      </c>
      <c r="B12" s="3322">
        <v>15</v>
      </c>
      <c r="C12" s="3320"/>
      <c r="D12" s="3324"/>
      <c r="E12" s="261" t="s">
        <v>313</v>
      </c>
      <c r="F12" s="262"/>
      <c r="G12" s="262"/>
      <c r="H12" s="262"/>
      <c r="I12" s="263"/>
      <c r="J12" s="2030"/>
      <c r="K12" s="2029"/>
      <c r="L12" s="2029"/>
      <c r="M12" s="2029"/>
      <c r="N12" s="2029"/>
      <c r="O12" s="2029"/>
      <c r="P12" s="2029"/>
      <c r="Q12" s="2029"/>
      <c r="R12" s="2029"/>
      <c r="S12" s="2029"/>
      <c r="T12" s="2029"/>
      <c r="U12" s="2029"/>
      <c r="V12" s="2029"/>
    </row>
    <row r="13" spans="1:22" ht="14.25">
      <c r="A13" s="3296"/>
      <c r="B13" s="3322"/>
      <c r="C13" s="3321"/>
      <c r="D13" s="3324"/>
      <c r="E13" s="261" t="s">
        <v>314</v>
      </c>
      <c r="F13" s="262"/>
      <c r="G13" s="262"/>
      <c r="H13" s="262"/>
      <c r="I13" s="263"/>
      <c r="J13" s="2030"/>
      <c r="K13" s="2029"/>
      <c r="L13" s="2029"/>
      <c r="M13" s="2029"/>
      <c r="N13" s="2029"/>
      <c r="O13" s="2029"/>
      <c r="P13" s="2029"/>
      <c r="Q13" s="2029"/>
      <c r="R13" s="2029"/>
      <c r="S13" s="2029"/>
      <c r="T13" s="2029"/>
      <c r="U13" s="2029"/>
      <c r="V13" s="2029"/>
    </row>
    <row r="14" spans="1:22" ht="14.25">
      <c r="A14" s="3296" t="s">
        <v>315</v>
      </c>
      <c r="B14" s="3322">
        <v>30</v>
      </c>
      <c r="C14" s="3320">
        <v>5</v>
      </c>
      <c r="D14" s="3324">
        <v>5</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296"/>
      <c r="B15" s="3322"/>
      <c r="C15" s="3323"/>
      <c r="D15" s="3324"/>
      <c r="E15" s="261" t="s">
        <v>317</v>
      </c>
      <c r="F15" s="262"/>
      <c r="G15" s="262"/>
      <c r="H15" s="262"/>
      <c r="I15" s="263"/>
      <c r="J15" s="2030"/>
      <c r="K15" s="2029"/>
      <c r="L15" s="2029"/>
      <c r="M15" s="2029"/>
      <c r="N15" s="2029"/>
      <c r="O15" s="2029"/>
      <c r="P15" s="2029"/>
      <c r="Q15" s="2029"/>
      <c r="R15" s="2029"/>
      <c r="S15" s="2029"/>
      <c r="T15" s="2029"/>
      <c r="U15" s="2029"/>
      <c r="V15" s="2029"/>
    </row>
    <row r="16" spans="1:22" ht="14.25">
      <c r="A16" s="3296"/>
      <c r="B16" s="3322"/>
      <c r="C16" s="3321"/>
      <c r="D16" s="3324"/>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5</v>
      </c>
      <c r="D17" s="265">
        <f>SUM(D5:D16)</f>
        <v>5</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0.5</v>
      </c>
      <c r="D18" s="267">
        <f>1-C18</f>
        <v>0.5</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59063</v>
      </c>
      <c r="D19" s="271">
        <f ca="1">SUMIF(INDIRECT("'"&amp;D4&amp;"'"&amp;"!A:A"),结果表!B19,INDIRECT("'"&amp;D4&amp;"'"&amp;"!B:B"))</f>
        <v>55549</v>
      </c>
      <c r="E19" s="268" t="s">
        <v>323</v>
      </c>
      <c r="F19" s="269" t="s">
        <v>322</v>
      </c>
      <c r="G19" s="272">
        <f ca="1">ROUND(C19*$C$18+D19*$D$18,0)</f>
        <v>57306</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11466</v>
      </c>
      <c r="D20" s="277">
        <f ca="1">SUMIF(INDIRECT("'"&amp;D4&amp;"'"&amp;"!A:A"),结果表!B20,INDIRECT("'"&amp;D4&amp;"'"&amp;"!B:B"))</f>
        <v>10784</v>
      </c>
      <c r="E20" s="274"/>
      <c r="F20" s="275" t="s">
        <v>325</v>
      </c>
      <c r="G20" s="278">
        <f ca="1">ROUND(C20*$C$18+D20*$D$18,0)</f>
        <v>11125</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28897</v>
      </c>
      <c r="D21" s="151">
        <f ca="1">SUMIF(INDIRECT("'"&amp;D4&amp;"'"&amp;"!A:A"),结果表!B21,INDIRECT("'"&amp;D4&amp;"'"&amp;"!B:B"))</f>
        <v>27177</v>
      </c>
      <c r="E21" s="274"/>
      <c r="F21" s="280" t="s">
        <v>327</v>
      </c>
      <c r="G21" s="282">
        <f ca="1">ROUND(C21*$C$18+D21*$D$18,0)</f>
        <v>28037</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6.3259464616824745E-2</v>
      </c>
      <c r="E22" s="284"/>
      <c r="F22" s="285"/>
      <c r="G22" s="286">
        <f ca="1">ROUND(G19/('数据-汇总表'!D3/666.67),0)</f>
        <v>1869</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02"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03"/>
      <c r="B25" s="1321" t="s">
        <v>331</v>
      </c>
      <c r="C25" s="290">
        <f>IF(B30=0,0,C30)</f>
        <v>0</v>
      </c>
      <c r="D25" s="291"/>
      <c r="E25" s="311"/>
      <c r="F25" s="311"/>
      <c r="G25" s="311"/>
      <c r="H25" s="311"/>
      <c r="I25" s="311"/>
      <c r="J25" s="2029"/>
      <c r="K25" s="1255" t="str">
        <f ca="1">项目基本情况!B16&amp;"国有建设用地使用权价格："&amp;O38&amp;"万元"</f>
        <v>出让国有建设用地使用权价格：57306万元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大写金额：人民币伍亿柒仟叁佰零陆万元整</v>
      </c>
      <c r="L26" s="1252"/>
      <c r="M26" s="1252"/>
      <c r="N26" s="1252"/>
      <c r="O26" s="1251"/>
      <c r="P26" s="2029"/>
      <c r="Q26" s="2029"/>
      <c r="R26" s="2029"/>
      <c r="S26" s="2029"/>
      <c r="T26" s="2029"/>
      <c r="U26" s="2029"/>
      <c r="V26" s="2029"/>
      <c r="W26" s="292"/>
      <c r="X26" s="292"/>
      <c r="Y26" s="292"/>
      <c r="Z26" s="292"/>
    </row>
    <row r="27" spans="1:26" ht="18">
      <c r="A27" s="3207"/>
      <c r="B27" s="294"/>
      <c r="C27" s="294"/>
      <c r="D27" s="295">
        <f ca="1">G19/'数据-汇总表'!F31*10000</f>
        <v>33134.43191673894</v>
      </c>
      <c r="E27" s="311"/>
      <c r="F27" s="311"/>
      <c r="G27" s="311"/>
      <c r="H27" s="311"/>
      <c r="I27" s="311"/>
      <c r="J27" s="2029"/>
      <c r="K27" s="1258" t="str">
        <f ca="1">"单位面积地价："&amp;M38&amp;"元/平方米"</f>
        <v>单位面积地价：28037元/平方米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楼面地价：11125元/平方米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抵押价格：51118万元</v>
      </c>
      <c r="L29" s="1252"/>
      <c r="M29" s="1252"/>
      <c r="N29" s="1252"/>
      <c r="O29" s="1251"/>
      <c r="P29" s="2029"/>
      <c r="V29" s="2029"/>
    </row>
    <row r="30" spans="1:26" ht="18.75" thickBot="1">
      <c r="A30" s="3131" t="s">
        <v>336</v>
      </c>
      <c r="B30" s="309">
        <f>B27</f>
        <v>0</v>
      </c>
      <c r="C30" s="309"/>
      <c r="D30" s="310">
        <f ca="1">D27</f>
        <v>33134.43191673894</v>
      </c>
      <c r="E30" s="3132" t="s">
        <v>2962</v>
      </c>
      <c r="F30" s="311"/>
      <c r="G30" s="311"/>
      <c r="H30" s="311"/>
      <c r="I30" s="311"/>
      <c r="J30" s="2029"/>
      <c r="K30" s="1258" t="str">
        <f ca="1">IF(K29="——","——","大写金额：人民币"&amp;NUMBERSTRING(INT(O39*10000),2)&amp;"元整")</f>
        <v>大写金额：人民币伍亿壹仟壹佰壹拾捌万元整</v>
      </c>
      <c r="L30" s="1252"/>
      <c r="M30" s="1252"/>
      <c r="N30" s="1252"/>
      <c r="O30" s="1251"/>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v>
      </c>
      <c r="L31" s="2465"/>
      <c r="M31" s="2465"/>
      <c r="N31" s="2465"/>
      <c r="O31" s="2466"/>
      <c r="P31" s="2029"/>
      <c r="V31" s="2029"/>
    </row>
    <row r="32" spans="1:26" ht="18.75" thickBot="1">
      <c r="A32" s="268" t="s">
        <v>337</v>
      </c>
      <c r="B32" s="1381" t="s">
        <v>1688</v>
      </c>
      <c r="C32" s="1382">
        <f ca="1">G19-C24</f>
        <v>57306</v>
      </c>
      <c r="D32" s="1383" t="s">
        <v>1689</v>
      </c>
      <c r="E32" s="311"/>
      <c r="F32" s="311"/>
      <c r="G32" s="311"/>
      <c r="H32" s="311"/>
      <c r="I32" s="311"/>
      <c r="J32" s="2029"/>
      <c r="K32" s="2464" t="str">
        <f>IF(K31="——","——","大写金额：人民币"&amp;NUMBERSTRING(INT(O40*10000),2)&amp;"元整")</f>
        <v>——</v>
      </c>
      <c r="L32" s="2467"/>
      <c r="M32" s="2467"/>
      <c r="N32" s="2467"/>
      <c r="O32" s="2468"/>
      <c r="P32" s="2029"/>
      <c r="V32" s="2029"/>
    </row>
    <row r="33" spans="1:26" ht="18.75" thickBot="1">
      <c r="A33" s="298" t="s">
        <v>340</v>
      </c>
      <c r="B33" s="1384" t="s">
        <v>1690</v>
      </c>
      <c r="C33" s="264">
        <f ca="1">ROUND(C32*10000/'数据-汇总表'!E3,0)</f>
        <v>11125</v>
      </c>
      <c r="D33" s="1385" t="s">
        <v>1691</v>
      </c>
      <c r="E33" s="3302" t="s">
        <v>338</v>
      </c>
      <c r="F33" s="296" t="s">
        <v>339</v>
      </c>
      <c r="G33" s="297"/>
      <c r="H33" s="980"/>
      <c r="I33" s="1259"/>
      <c r="J33" s="2029"/>
      <c r="K33" s="1258" t="str">
        <f>IF(项目基本情况!E9="——","——","抵押净值："&amp;C46&amp;"万元")</f>
        <v>——</v>
      </c>
      <c r="L33" s="1252"/>
      <c r="M33" s="1252"/>
      <c r="N33" s="1252"/>
      <c r="O33" s="1251"/>
      <c r="P33" s="2029"/>
      <c r="V33" s="2029"/>
    </row>
    <row r="34" spans="1:26" s="1254" customFormat="1" ht="18.75" thickBot="1">
      <c r="A34" s="300"/>
      <c r="B34" s="1386" t="s">
        <v>1692</v>
      </c>
      <c r="C34" s="264">
        <f ca="1">ROUND(C32*10000/'数据-汇总表'!D3,0)</f>
        <v>28037</v>
      </c>
      <c r="D34" s="1387" t="s">
        <v>1691</v>
      </c>
      <c r="E34" s="3343"/>
      <c r="F34" s="127" t="s">
        <v>341</v>
      </c>
      <c r="G34" s="299"/>
      <c r="H34" s="105"/>
      <c r="I34" s="311"/>
      <c r="J34" s="2029"/>
      <c r="K34" s="1261" t="str">
        <f>IF(K33="——","——","大写金额：人民币"&amp;NUMBERSTRING(INT(O41*10000),2)&amp;"元整")</f>
        <v>——</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1869</v>
      </c>
      <c r="D35" s="1390" t="s">
        <v>1693</v>
      </c>
      <c r="E35" s="3344"/>
      <c r="F35" s="301" t="s">
        <v>342</v>
      </c>
      <c r="G35" s="982">
        <f ca="1">E39</f>
        <v>6188</v>
      </c>
      <c r="H35" s="981" t="s">
        <v>343</v>
      </c>
      <c r="I35" s="311"/>
      <c r="J35" s="2029"/>
      <c r="K35" s="3317" t="s">
        <v>350</v>
      </c>
      <c r="L35" s="3317" t="s">
        <v>351</v>
      </c>
      <c r="M35" s="1264" t="s">
        <v>352</v>
      </c>
      <c r="N35" s="3317" t="s">
        <v>353</v>
      </c>
      <c r="O35" s="3317" t="s">
        <v>354</v>
      </c>
      <c r="P35" s="2029"/>
      <c r="V35" s="2029"/>
    </row>
    <row r="36" spans="1:26" ht="16.5" customHeight="1">
      <c r="A36" s="303" t="s">
        <v>344</v>
      </c>
      <c r="B36" s="304" t="s">
        <v>333</v>
      </c>
      <c r="C36" s="305" t="s">
        <v>345</v>
      </c>
      <c r="D36" s="305" t="s">
        <v>346</v>
      </c>
      <c r="E36" s="306" t="s">
        <v>347</v>
      </c>
      <c r="F36" s="311"/>
      <c r="G36" s="311"/>
      <c r="H36" s="311"/>
      <c r="I36" s="311"/>
      <c r="J36" s="2031"/>
      <c r="K36" s="3318"/>
      <c r="L36" s="3318"/>
      <c r="M36" s="1266" t="s">
        <v>355</v>
      </c>
      <c r="N36" s="3318"/>
      <c r="O36" s="3318"/>
      <c r="P36" s="2029"/>
      <c r="V36" s="2029"/>
    </row>
    <row r="37" spans="1:26" ht="16.5" customHeight="1" thickBot="1">
      <c r="A37" s="1260" t="s">
        <v>348</v>
      </c>
      <c r="B37" s="307"/>
      <c r="C37" s="294"/>
      <c r="D37" s="294"/>
      <c r="E37" s="295">
        <f ca="1">ROUND((基准地价!I33+基准地价!I39)*1.0305,0)</f>
        <v>6188</v>
      </c>
      <c r="F37" s="311"/>
      <c r="G37" s="311"/>
      <c r="H37" s="311"/>
      <c r="I37" s="311"/>
      <c r="J37" s="2031"/>
      <c r="K37" s="3319"/>
      <c r="L37" s="3319"/>
      <c r="M37" s="1267"/>
      <c r="N37" s="3319"/>
      <c r="O37" s="3319"/>
      <c r="P37" s="2029"/>
      <c r="V37" s="2029"/>
    </row>
    <row r="38" spans="1:26" ht="16.5" customHeight="1" thickBot="1">
      <c r="A38" s="1260" t="s">
        <v>349</v>
      </c>
      <c r="B38" s="307"/>
      <c r="C38" s="294"/>
      <c r="D38" s="294"/>
      <c r="E38" s="295"/>
      <c r="F38" s="311"/>
      <c r="G38" s="311"/>
      <c r="H38" s="311"/>
      <c r="I38" s="311"/>
      <c r="J38" s="2031"/>
      <c r="K38" s="1268">
        <f>'数据-汇总表'!D3</f>
        <v>20439.419999999998</v>
      </c>
      <c r="L38" s="1269">
        <f>'数据-汇总表'!E3</f>
        <v>51512</v>
      </c>
      <c r="M38" s="1269">
        <f ca="1">C34</f>
        <v>28037</v>
      </c>
      <c r="N38" s="1269">
        <f ca="1">C33</f>
        <v>11125</v>
      </c>
      <c r="O38" s="1270">
        <f ca="1">C32</f>
        <v>57306</v>
      </c>
      <c r="P38" s="2029"/>
      <c r="V38" s="2029"/>
    </row>
    <row r="39" spans="1:26" ht="16.5" customHeight="1" thickBot="1">
      <c r="A39" s="1265"/>
      <c r="B39" s="308"/>
      <c r="C39" s="309"/>
      <c r="D39" s="309"/>
      <c r="E39" s="310">
        <f ca="1">E37</f>
        <v>6188</v>
      </c>
      <c r="F39" s="311"/>
      <c r="G39" s="311"/>
      <c r="H39" s="311"/>
      <c r="I39" s="311"/>
      <c r="J39" s="2031"/>
      <c r="K39" s="3362" t="str">
        <f>MID(A44,3,LEN(A44)-2)</f>
        <v>抵押价格</v>
      </c>
      <c r="L39" s="3363"/>
      <c r="M39" s="3363"/>
      <c r="N39" s="3364"/>
      <c r="O39" s="1392">
        <f ca="1">C44</f>
        <v>51118</v>
      </c>
      <c r="P39" s="2029"/>
      <c r="V39" s="2029"/>
    </row>
    <row r="40" spans="1:26" ht="19.5" thickBot="1">
      <c r="A40" s="104" t="s">
        <v>873</v>
      </c>
      <c r="B40" s="311"/>
      <c r="C40" s="311"/>
      <c r="D40" s="311"/>
      <c r="E40" s="311"/>
      <c r="F40" s="311"/>
      <c r="G40" s="311"/>
      <c r="H40" s="311"/>
      <c r="I40" s="311"/>
      <c r="J40" s="2031"/>
      <c r="K40" s="3362" t="str">
        <f t="shared" ref="K40:K41" si="0">MID(A45,3,LEN(A45)-2)</f>
        <v/>
      </c>
      <c r="L40" s="3363"/>
      <c r="M40" s="3363"/>
      <c r="N40" s="3364"/>
      <c r="O40" s="1392" t="str">
        <f>C45</f>
        <v>——</v>
      </c>
      <c r="P40" s="2029"/>
      <c r="V40" s="2029"/>
    </row>
    <row r="41" spans="1:26" ht="16.5" thickBot="1">
      <c r="A41" s="312" t="s">
        <v>356</v>
      </c>
      <c r="B41" s="313"/>
      <c r="C41" s="314" t="s">
        <v>357</v>
      </c>
      <c r="D41" s="315" t="s">
        <v>358</v>
      </c>
      <c r="E41" s="315" t="s">
        <v>359</v>
      </c>
      <c r="F41" s="316" t="s">
        <v>360</v>
      </c>
      <c r="G41" s="311"/>
      <c r="H41" s="311"/>
      <c r="I41" s="311"/>
      <c r="J41" s="2031"/>
      <c r="K41" s="3362" t="str">
        <f t="shared" si="0"/>
        <v/>
      </c>
      <c r="L41" s="3363"/>
      <c r="M41" s="3363"/>
      <c r="N41" s="3364"/>
      <c r="O41" s="1392" t="str">
        <f>C46</f>
        <v>——</v>
      </c>
      <c r="P41" s="2029"/>
      <c r="V41" s="2029"/>
    </row>
    <row r="42" spans="1:26" ht="29.25">
      <c r="A42" s="3304" t="s">
        <v>2068</v>
      </c>
      <c r="B42" s="3305"/>
      <c r="C42" s="264">
        <f ca="1">C32</f>
        <v>57306</v>
      </c>
      <c r="D42" s="317">
        <f ca="1">C33</f>
        <v>11125</v>
      </c>
      <c r="E42" s="317">
        <f ca="1">C34</f>
        <v>28037</v>
      </c>
      <c r="F42" s="318">
        <f ca="1">C35</f>
        <v>1869</v>
      </c>
      <c r="G42" s="311"/>
      <c r="H42" s="311"/>
      <c r="I42" s="319"/>
      <c r="J42" s="2031"/>
      <c r="K42" s="1271" t="s">
        <v>361</v>
      </c>
      <c r="L42" s="2048" t="s">
        <v>362</v>
      </c>
      <c r="M42" s="1272" t="s">
        <v>363</v>
      </c>
      <c r="N42" s="2049" t="s">
        <v>364</v>
      </c>
      <c r="O42" s="2050" t="s">
        <v>365</v>
      </c>
      <c r="P42" s="2029"/>
      <c r="V42" s="2029"/>
    </row>
    <row r="43" spans="1:26" ht="30">
      <c r="A43" s="3315" t="s">
        <v>2729</v>
      </c>
      <c r="B43" s="3316"/>
      <c r="C43" s="264">
        <f ca="1">IF(H33="正常操作",G33+G34+G35,G34+G35)</f>
        <v>6188</v>
      </c>
      <c r="D43" s="317" t="s">
        <v>43</v>
      </c>
      <c r="E43" s="317" t="s">
        <v>44</v>
      </c>
      <c r="F43" s="318" t="s">
        <v>44</v>
      </c>
      <c r="G43" s="2867" t="s">
        <v>952</v>
      </c>
      <c r="H43" s="311"/>
      <c r="I43" s="319"/>
      <c r="J43" s="2031"/>
      <c r="K43" s="1273" t="str">
        <f>C4</f>
        <v>比较法-住宅、综合</v>
      </c>
      <c r="L43" s="1274">
        <f ca="1">IF(L42="估价结果/万元",C19,C20)</f>
        <v>59063</v>
      </c>
      <c r="M43" s="1275">
        <f>C18</f>
        <v>0.5</v>
      </c>
      <c r="N43" s="1276">
        <f ca="1">IF(N42="测算结果/万元",G19,G20)</f>
        <v>57306</v>
      </c>
      <c r="O43" s="1277">
        <f ca="1">IF(O42="最终结果/万元",C32,C33)</f>
        <v>57306</v>
      </c>
      <c r="P43" s="2029"/>
      <c r="V43" s="2029"/>
    </row>
    <row r="44" spans="1:26" ht="30.75" thickBot="1">
      <c r="A44" s="3304" t="str">
        <f>IF(OR(项目基本情况!E8="抵押价格",项目基本情况!E8="已注销及未注销"),"3.抵押价格","——")</f>
        <v>3.抵押价格</v>
      </c>
      <c r="B44" s="3305"/>
      <c r="C44" s="264">
        <f ca="1">IF(A44="——","——",C42-C43)</f>
        <v>51118</v>
      </c>
      <c r="D44" s="317">
        <f ca="1">ROUND(C44*10000/'数据-汇总表'!E3,0)</f>
        <v>9924</v>
      </c>
      <c r="E44" s="317">
        <f ca="1">ROUND(C44*10000/'数据-汇总表'!D3,0)</f>
        <v>25010</v>
      </c>
      <c r="F44" s="318">
        <f ca="1">ROUND(C44/('数据-汇总表'!D3/666.67),0)</f>
        <v>1667</v>
      </c>
      <c r="G44" s="311"/>
      <c r="H44" s="311"/>
      <c r="I44" s="319"/>
      <c r="J44" s="2031"/>
      <c r="K44" s="1278" t="str">
        <f>D4</f>
        <v>剩余法-待开发</v>
      </c>
      <c r="L44" s="1279">
        <f ca="1">IF(L42="估价结果/万元",D19,D20)</f>
        <v>55549</v>
      </c>
      <c r="M44" s="1280">
        <f>D18</f>
        <v>0.5</v>
      </c>
      <c r="N44" s="1281"/>
      <c r="O44" s="1282"/>
      <c r="P44" s="2029"/>
      <c r="V44" s="2029"/>
    </row>
    <row r="45" spans="1:26" ht="15">
      <c r="A45" s="3310" t="str">
        <f>IF(项目基本情况!E8="已注销及未注销","4.抵押担保权已注销时的抵押价格",IF(项目基本情况!E8="已注销","3.抵押担保权已注销时的抵押价格","——"))</f>
        <v>——</v>
      </c>
      <c r="B45" s="3311"/>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06" t="str">
        <f>IF(项目基本情况!E9="抵押净值",IF(A45="——","4.抵押净值","5.抵押净值"),"——")</f>
        <v>——</v>
      </c>
      <c r="B46" s="3307"/>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 ca="1">IF(C43=0,"本次评估"&amp;IF(G43="设定","设定估价对象","")&amp;"不存在"&amp;MID(A43,3,LEN(A43)-2),"本次评估"&amp;IF(G43="设定","设定","")&amp;MID(A43,3,LEN(A43)-2)&amp;"为人民币"&amp;C43&amp;"万元整。")</f>
        <v>本次评估估价师知悉的法定优先受偿款为人民币6188万元整。</v>
      </c>
      <c r="L47" s="2029"/>
      <c r="M47" s="2029"/>
      <c r="N47" s="2029"/>
      <c r="O47" s="2029"/>
      <c r="P47" s="2029"/>
      <c r="Q47" s="2029"/>
      <c r="R47" s="2029"/>
      <c r="S47" s="2029"/>
      <c r="T47" s="2029"/>
      <c r="U47" s="2029"/>
      <c r="V47" s="2029"/>
    </row>
    <row r="48" spans="1:26" ht="48">
      <c r="A48" s="327">
        <v>1</v>
      </c>
      <c r="B48" s="328"/>
      <c r="C48" s="328"/>
      <c r="D48" s="323"/>
      <c r="E48" s="3205" t="s">
        <v>3431</v>
      </c>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51" t="s">
        <v>374</v>
      </c>
      <c r="B63" s="3352"/>
      <c r="C63" s="3353"/>
      <c r="D63" s="341">
        <f ca="1">ROUND(C42*F63,0)</f>
        <v>34384</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12" t="s">
        <v>378</v>
      </c>
      <c r="B64" s="3313"/>
      <c r="C64" s="3313"/>
      <c r="D64" s="3313"/>
      <c r="E64" s="3313"/>
      <c r="F64" s="3313"/>
      <c r="G64" s="3314"/>
      <c r="H64" s="1288"/>
      <c r="I64" s="948"/>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08" t="s">
        <v>386</v>
      </c>
      <c r="B66" s="3309"/>
      <c r="C66" s="3309"/>
      <c r="D66" s="261">
        <f ca="1">IF(H66="情况1",0,IF(H66="情况2",D70,IF(H66="情况3",D71,IF(H66="情况4",D72))))</f>
        <v>1834</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66" t="s">
        <v>385</v>
      </c>
      <c r="M66" s="3367"/>
      <c r="N66" s="2459"/>
      <c r="O66" s="2460"/>
      <c r="P66" s="2461"/>
      <c r="Q66" s="2029"/>
      <c r="R66" s="2029"/>
      <c r="S66" s="2029"/>
      <c r="T66" s="2029"/>
      <c r="U66" s="2029"/>
      <c r="V66" s="2029"/>
    </row>
    <row r="67" spans="1:22" ht="25.5" customHeight="1">
      <c r="A67" s="352" t="s">
        <v>390</v>
      </c>
      <c r="B67" s="3299" t="s">
        <v>391</v>
      </c>
      <c r="C67" s="3299"/>
      <c r="D67" s="353">
        <v>0</v>
      </c>
      <c r="E67" s="41" t="s">
        <v>392</v>
      </c>
      <c r="F67" s="62" t="s">
        <v>21</v>
      </c>
      <c r="G67" s="3354"/>
      <c r="H67" s="311"/>
      <c r="I67" s="1292"/>
      <c r="J67" s="2036"/>
      <c r="K67" s="1977">
        <v>2</v>
      </c>
      <c r="L67" s="3365" t="s">
        <v>389</v>
      </c>
      <c r="M67" s="3365"/>
      <c r="N67" s="1325">
        <f>'数据-取费表'!B2</f>
        <v>43402</v>
      </c>
      <c r="O67" s="1325"/>
      <c r="P67" s="1325"/>
      <c r="Q67" s="2029"/>
      <c r="R67" s="2029"/>
      <c r="S67" s="2029"/>
      <c r="T67" s="2029"/>
      <c r="U67" s="2029"/>
      <c r="V67" s="2029"/>
    </row>
    <row r="68" spans="1:22" ht="25.5" customHeight="1">
      <c r="A68" s="354"/>
      <c r="B68" s="3299" t="s">
        <v>394</v>
      </c>
      <c r="C68" s="3299"/>
      <c r="D68" s="355"/>
      <c r="E68" s="77"/>
      <c r="F68" s="356"/>
      <c r="G68" s="3355"/>
      <c r="H68" s="311"/>
      <c r="I68" s="1292"/>
      <c r="J68" s="2036"/>
      <c r="K68" s="1977">
        <v>3</v>
      </c>
      <c r="L68" s="3365" t="s">
        <v>393</v>
      </c>
      <c r="M68" s="3365"/>
      <c r="N68" s="1293">
        <f ca="1">C42</f>
        <v>57306</v>
      </c>
      <c r="O68" s="1293"/>
      <c r="P68" s="1293"/>
      <c r="Q68" s="2029"/>
      <c r="R68" s="2029"/>
      <c r="S68" s="2029"/>
      <c r="T68" s="2029"/>
      <c r="U68" s="2029"/>
      <c r="V68" s="2029"/>
    </row>
    <row r="69" spans="1:22" ht="12" customHeight="1">
      <c r="A69" s="357"/>
      <c r="B69" s="3299" t="s">
        <v>395</v>
      </c>
      <c r="C69" s="3299"/>
      <c r="D69" s="358"/>
      <c r="E69" s="73"/>
      <c r="F69" s="356"/>
      <c r="G69" s="3356"/>
      <c r="H69" s="311"/>
      <c r="I69" s="1292"/>
      <c r="J69" s="2036"/>
      <c r="K69" s="1294">
        <v>4</v>
      </c>
      <c r="L69" s="3370" t="s">
        <v>2882</v>
      </c>
      <c r="M69" s="3371"/>
      <c r="N69" s="1295">
        <f ca="1">C44</f>
        <v>51118</v>
      </c>
      <c r="O69" s="1295"/>
      <c r="P69" s="1295"/>
      <c r="Q69" s="2029"/>
      <c r="R69" s="2029"/>
      <c r="S69" s="2029"/>
      <c r="T69" s="2029"/>
      <c r="U69" s="2029"/>
      <c r="V69" s="2029"/>
    </row>
    <row r="70" spans="1:22" ht="24" customHeight="1">
      <c r="A70" s="359" t="s">
        <v>396</v>
      </c>
      <c r="B70" s="3299" t="s">
        <v>397</v>
      </c>
      <c r="C70" s="3299"/>
      <c r="D70" s="358">
        <f ca="1">ROUND(D63*'数据-取费表'!B41/(1+'数据-取费表'!C42),0)</f>
        <v>1834</v>
      </c>
      <c r="E70" s="17" t="s">
        <v>398</v>
      </c>
      <c r="F70" s="360">
        <f>'数据-取费表'!B41</f>
        <v>5.6000000000000001E-2</v>
      </c>
      <c r="G70" s="361"/>
      <c r="H70" s="311"/>
      <c r="I70" s="1292"/>
      <c r="J70" s="2036"/>
      <c r="K70" s="3063"/>
      <c r="L70" s="3064"/>
      <c r="M70" s="3064"/>
      <c r="N70" s="3065" t="s">
        <v>2887</v>
      </c>
      <c r="O70" s="3064"/>
      <c r="P70" s="3066"/>
      <c r="Q70" s="2029"/>
      <c r="R70" s="2029"/>
      <c r="S70" s="2029"/>
      <c r="T70" s="2029"/>
      <c r="U70" s="2029"/>
      <c r="V70" s="2029"/>
    </row>
    <row r="71" spans="1:22" ht="12" customHeight="1">
      <c r="A71" s="359" t="s">
        <v>404</v>
      </c>
      <c r="B71" s="3300" t="s">
        <v>405</v>
      </c>
      <c r="C71" s="3301"/>
      <c r="D71" s="358">
        <f ca="1">ROUND(D63*'数据-取费表'!B41/(1+'数据-取费表'!C42),0)</f>
        <v>1834</v>
      </c>
      <c r="E71" s="17" t="s">
        <v>398</v>
      </c>
      <c r="F71" s="360">
        <f>'数据-取费表'!B41</f>
        <v>5.6000000000000001E-2</v>
      </c>
      <c r="G71" s="361"/>
      <c r="H71" s="311"/>
      <c r="I71" s="1292"/>
      <c r="J71" s="2036"/>
      <c r="K71" s="3062" t="s">
        <v>399</v>
      </c>
      <c r="L71" s="3372" t="s">
        <v>400</v>
      </c>
      <c r="M71" s="3372"/>
      <c r="N71" s="3062" t="s">
        <v>401</v>
      </c>
      <c r="O71" s="3062" t="s">
        <v>402</v>
      </c>
      <c r="P71" s="3062" t="s">
        <v>403</v>
      </c>
      <c r="Q71" s="2029"/>
      <c r="R71" s="2029"/>
      <c r="S71" s="2029"/>
      <c r="T71" s="2029"/>
      <c r="U71" s="2029"/>
      <c r="V71" s="2029"/>
    </row>
    <row r="72" spans="1:22" ht="12" customHeight="1">
      <c r="A72" s="359" t="s">
        <v>407</v>
      </c>
      <c r="B72" s="3300" t="s">
        <v>408</v>
      </c>
      <c r="C72" s="3301"/>
      <c r="D72" s="358">
        <f ca="1">C86</f>
        <v>1722</v>
      </c>
      <c r="E72" s="73" t="s">
        <v>409</v>
      </c>
      <c r="F72" s="360">
        <f>'数据-取费表'!B41</f>
        <v>5.6000000000000001E-2</v>
      </c>
      <c r="G72" s="361"/>
      <c r="H72" s="1298"/>
      <c r="I72" s="1292"/>
      <c r="J72" s="2036"/>
      <c r="K72" s="1977">
        <v>1</v>
      </c>
      <c r="L72" s="3347" t="s">
        <v>406</v>
      </c>
      <c r="M72" s="3347"/>
      <c r="N72" s="1296">
        <f ca="1">D66</f>
        <v>1834</v>
      </c>
      <c r="O72" s="1860" t="str">
        <f>E66</f>
        <v>销售额×税（费）率</v>
      </c>
      <c r="P72" s="1297">
        <f>F66</f>
        <v>5.6000000000000001E-2</v>
      </c>
      <c r="Q72" s="2029"/>
      <c r="R72" s="2029"/>
      <c r="S72" s="2029"/>
      <c r="T72" s="2029"/>
      <c r="U72" s="2029"/>
      <c r="V72" s="2029"/>
    </row>
    <row r="73" spans="1:22" ht="24" customHeight="1">
      <c r="A73" s="3341" t="s">
        <v>411</v>
      </c>
      <c r="B73" s="3309"/>
      <c r="C73" s="3309"/>
      <c r="D73" s="362">
        <f>IF(H73="个人住宅",0,ROUND(D63*I73,0))</f>
        <v>0</v>
      </c>
      <c r="E73" s="17" t="s">
        <v>412</v>
      </c>
      <c r="F73" s="360" t="str">
        <f>IF(H73="正常",I73,"免征")</f>
        <v>免征</v>
      </c>
      <c r="G73" s="361"/>
      <c r="H73" s="191" t="s">
        <v>2455</v>
      </c>
      <c r="I73" s="360">
        <f>'数据-取费表'!B49</f>
        <v>5.1999999999999995E-4</v>
      </c>
      <c r="J73" s="2036"/>
      <c r="K73" s="1977">
        <v>2</v>
      </c>
      <c r="L73" s="3347" t="s">
        <v>410</v>
      </c>
      <c r="M73" s="3347"/>
      <c r="N73" s="1296">
        <f t="shared" ref="N73:P74" si="1">D73</f>
        <v>0</v>
      </c>
      <c r="O73" s="1860" t="str">
        <f t="shared" si="1"/>
        <v>销售额×税（费）率</v>
      </c>
      <c r="P73" s="1297" t="str">
        <f t="shared" si="1"/>
        <v>免征</v>
      </c>
      <c r="Q73" s="2029"/>
      <c r="R73" s="2029"/>
      <c r="S73" s="2029"/>
      <c r="T73" s="2029"/>
      <c r="U73" s="2029"/>
      <c r="V73" s="2029"/>
    </row>
    <row r="74" spans="1:22" ht="24.75">
      <c r="A74" s="3341" t="s">
        <v>415</v>
      </c>
      <c r="B74" s="3309"/>
      <c r="C74" s="3309"/>
      <c r="D74" s="362">
        <f ca="1">IF(H74="个人住宅",D75,D76)</f>
        <v>18807</v>
      </c>
      <c r="E74" s="17" t="s">
        <v>416</v>
      </c>
      <c r="F74" s="360" t="str">
        <f>IF(H74="正常",F76,"免征")</f>
        <v>——</v>
      </c>
      <c r="G74" s="983" t="s">
        <v>417</v>
      </c>
      <c r="H74" s="363" t="s">
        <v>413</v>
      </c>
      <c r="I74" s="42"/>
      <c r="J74" s="2036"/>
      <c r="K74" s="1977">
        <v>3</v>
      </c>
      <c r="L74" s="3347" t="s">
        <v>414</v>
      </c>
      <c r="M74" s="3347"/>
      <c r="N74" s="1296">
        <f t="shared" ca="1" si="1"/>
        <v>18807</v>
      </c>
      <c r="O74" s="1860" t="str">
        <f t="shared" si="1"/>
        <v>增值额×税（费）率</v>
      </c>
      <c r="P74" s="1299" t="str">
        <f t="shared" si="1"/>
        <v>——</v>
      </c>
      <c r="Q74" s="2029"/>
      <c r="R74" s="2029"/>
      <c r="S74" s="2029"/>
      <c r="T74" s="2029"/>
      <c r="U74" s="2029"/>
      <c r="V74" s="2029"/>
    </row>
    <row r="75" spans="1:22" ht="24">
      <c r="A75" s="359" t="s">
        <v>418</v>
      </c>
      <c r="B75" s="3297" t="s">
        <v>419</v>
      </c>
      <c r="C75" s="3327"/>
      <c r="D75" s="364">
        <v>0</v>
      </c>
      <c r="E75" s="41" t="s">
        <v>420</v>
      </c>
      <c r="F75" s="365"/>
      <c r="G75" s="361"/>
      <c r="H75" s="42"/>
      <c r="I75" s="42"/>
      <c r="J75" s="2036"/>
      <c r="K75" s="3055">
        <f>IF(H77="非个人房产","",4)</f>
        <v>4</v>
      </c>
      <c r="L75" s="3347" t="str">
        <f>IF(H77="非个人房产","——","个人所得税")</f>
        <v>个人所得税</v>
      </c>
      <c r="M75" s="3347"/>
      <c r="N75" s="1300">
        <f ca="1">D77</f>
        <v>344</v>
      </c>
      <c r="O75" s="1873" t="str">
        <f>E77</f>
        <v>销售额×税（费）率</v>
      </c>
      <c r="P75" s="1301">
        <f>F77</f>
        <v>0.01</v>
      </c>
      <c r="Q75" s="2029"/>
      <c r="R75" s="2029"/>
      <c r="S75" s="2029"/>
      <c r="T75" s="2029"/>
      <c r="U75" s="2029"/>
      <c r="V75" s="2029"/>
    </row>
    <row r="76" spans="1:22" ht="24.75">
      <c r="A76" s="359" t="s">
        <v>396</v>
      </c>
      <c r="B76" s="3297" t="s">
        <v>422</v>
      </c>
      <c r="C76" s="3298"/>
      <c r="D76" s="362">
        <f ca="1">IF(H76="转让取得",C99,C115)</f>
        <v>18807</v>
      </c>
      <c r="E76" s="17" t="s">
        <v>423</v>
      </c>
      <c r="F76" s="53" t="s">
        <v>21</v>
      </c>
      <c r="G76" s="361"/>
      <c r="H76" s="363" t="s">
        <v>424</v>
      </c>
      <c r="I76" s="42"/>
      <c r="J76" s="2036"/>
      <c r="K76" s="3055" t="str">
        <f>IF(项目基本情况!K6="上海银行",IF(K75="",4,K75+1),"")</f>
        <v/>
      </c>
      <c r="L76" s="3358" t="str">
        <f>IF(项目基本情况!K6="上海银行","其他处置费用","")</f>
        <v/>
      </c>
      <c r="M76" s="3359"/>
      <c r="N76" s="1296" t="str">
        <f>IF(项目基本情况!K6="上海银行",N89,"")</f>
        <v/>
      </c>
      <c r="O76" s="3360" t="str">
        <f>IF(项目基本情况!K6="上海银行","包含处置中涉及的律师、诉讼、拍卖、评估等费用","")</f>
        <v/>
      </c>
      <c r="P76" s="3361"/>
      <c r="Q76" s="2029"/>
      <c r="R76" s="2029"/>
      <c r="S76" s="2029"/>
      <c r="T76" s="2029"/>
      <c r="U76" s="2029"/>
      <c r="V76" s="2029"/>
    </row>
    <row r="77" spans="1:22" ht="26.25" thickBot="1">
      <c r="A77" s="3349" t="s">
        <v>426</v>
      </c>
      <c r="B77" s="3350"/>
      <c r="C77" s="3350"/>
      <c r="D77" s="366">
        <f ca="1">IF(H77="非个人房产","——",IF(H77="个人住宅",0,ROUND(D63*I77,0)))</f>
        <v>344</v>
      </c>
      <c r="E77" s="367" t="str">
        <f>IF(H77="非个人房产","——","销售额×税（费）率")</f>
        <v>销售额×税（费）率</v>
      </c>
      <c r="F77" s="368">
        <f>IF(H77="非个人房产","——",IF(H77="个人住宅","免征",I77))</f>
        <v>0.01</v>
      </c>
      <c r="G77" s="984" t="s">
        <v>417</v>
      </c>
      <c r="H77" s="363" t="s">
        <v>2883</v>
      </c>
      <c r="I77" s="369">
        <v>0.01</v>
      </c>
      <c r="J77" s="2036"/>
      <c r="K77" s="3348">
        <f>IF(AND(K75="",K76=""),4,IF(项目基本情况!K6="上海银行",K76+1,K75+1))</f>
        <v>5</v>
      </c>
      <c r="L77" s="3347" t="s">
        <v>2884</v>
      </c>
      <c r="M77" s="3061" t="s">
        <v>421</v>
      </c>
      <c r="N77" s="1302"/>
      <c r="O77" s="1303">
        <f ca="1">SUMIF(N72:N76,"&lt;9e307")</f>
        <v>20985</v>
      </c>
      <c r="P77" s="1304"/>
      <c r="Q77" s="3059">
        <f ca="1">O77/N69</f>
        <v>0.41052075589811809</v>
      </c>
      <c r="R77" s="2029"/>
      <c r="S77" s="2029"/>
      <c r="T77" s="2029"/>
      <c r="U77" s="2029"/>
      <c r="V77" s="2029"/>
    </row>
    <row r="78" spans="1:22" ht="12" customHeight="1">
      <c r="A78" s="1305"/>
      <c r="B78" s="311"/>
      <c r="C78" s="311"/>
      <c r="D78" s="311"/>
      <c r="E78" s="42"/>
      <c r="F78" s="42"/>
      <c r="G78" s="42"/>
      <c r="H78" s="1003"/>
      <c r="I78" s="311"/>
      <c r="J78" s="2036"/>
      <c r="K78" s="3348"/>
      <c r="L78" s="3347"/>
      <c r="M78" s="3061" t="s">
        <v>425</v>
      </c>
      <c r="N78" s="1302"/>
      <c r="O78" s="1303" t="str">
        <f ca="1">NUMBERSTRING(INT(O77*10000),2)&amp;"元整"</f>
        <v>贰亿零玖佰捌拾伍万元整</v>
      </c>
      <c r="P78" s="1304"/>
      <c r="Q78" s="2029"/>
      <c r="R78" s="2029"/>
      <c r="S78" s="2029"/>
      <c r="T78" s="2029"/>
      <c r="U78" s="2029"/>
      <c r="V78" s="2029"/>
    </row>
    <row r="79" spans="1:22" ht="13.5" thickBot="1">
      <c r="A79" s="3342" t="s">
        <v>427</v>
      </c>
      <c r="B79" s="3342"/>
      <c r="C79" s="3342"/>
      <c r="D79" s="3342"/>
      <c r="E79" s="3342"/>
      <c r="F79" s="42"/>
      <c r="G79" s="42"/>
      <c r="H79" s="1003"/>
      <c r="I79" s="311"/>
      <c r="J79" s="2036"/>
      <c r="K79" s="3368">
        <f>K77+1</f>
        <v>6</v>
      </c>
      <c r="L79" s="3347" t="s">
        <v>2885</v>
      </c>
      <c r="M79" s="3061" t="s">
        <v>421</v>
      </c>
      <c r="N79" s="1302"/>
      <c r="O79" s="1303">
        <f ca="1">N69-O77</f>
        <v>30133</v>
      </c>
      <c r="P79" s="1304"/>
      <c r="Q79" s="2029"/>
      <c r="R79" s="2029"/>
      <c r="S79" s="2029"/>
      <c r="T79" s="2029"/>
      <c r="U79" s="2029"/>
      <c r="V79" s="2029"/>
    </row>
    <row r="80" spans="1:22" ht="25.5">
      <c r="A80" s="3337" t="s">
        <v>428</v>
      </c>
      <c r="B80" s="3338"/>
      <c r="C80" s="994"/>
      <c r="D80" s="994" t="s">
        <v>429</v>
      </c>
      <c r="E80" s="370" t="s">
        <v>430</v>
      </c>
      <c r="F80" s="42"/>
      <c r="G80" s="42"/>
      <c r="H80" s="1003"/>
      <c r="I80" s="311"/>
      <c r="J80" s="2029"/>
      <c r="K80" s="3369"/>
      <c r="L80" s="3347"/>
      <c r="M80" s="3061" t="s">
        <v>425</v>
      </c>
      <c r="N80" s="1302"/>
      <c r="O80" s="1303" t="str">
        <f ca="1">NUMBERSTRING(INT(O79*10000),2)&amp;"元整"</f>
        <v>叁亿零壹佰叁拾叁万元整</v>
      </c>
      <c r="P80" s="1304"/>
      <c r="Q80" s="2029"/>
      <c r="R80" s="2029"/>
      <c r="S80" s="2029"/>
      <c r="T80" s="2029"/>
      <c r="U80" s="2029"/>
      <c r="V80" s="2029"/>
    </row>
    <row r="81" spans="1:26" ht="13.5" thickBot="1">
      <c r="A81" s="381" t="s">
        <v>1823</v>
      </c>
      <c r="B81" s="371" t="s">
        <v>431</v>
      </c>
      <c r="C81" s="372">
        <f ca="1">ROUND((C82+C83)/(1+'数据-取费表'!C42),0)</f>
        <v>32747</v>
      </c>
      <c r="D81" s="373"/>
      <c r="E81" s="374"/>
      <c r="F81" s="42"/>
      <c r="G81" s="42"/>
      <c r="H81" s="1003"/>
      <c r="I81" s="311"/>
      <c r="J81" s="2029"/>
      <c r="K81" s="3055">
        <f>K79+1</f>
        <v>7</v>
      </c>
      <c r="L81" s="3345" t="s">
        <v>2886</v>
      </c>
      <c r="M81" s="3346"/>
      <c r="N81" s="1306"/>
      <c r="O81" s="1307">
        <f ca="1">ROUND(O79*10000/'数据-汇总表'!E3,0)</f>
        <v>5850</v>
      </c>
      <c r="P81" s="1308"/>
      <c r="Q81" s="2029"/>
      <c r="R81" s="2029"/>
      <c r="S81" s="2029"/>
      <c r="T81" s="2029"/>
      <c r="U81" s="2029"/>
      <c r="V81" s="2029"/>
    </row>
    <row r="82" spans="1:26" ht="13.5" thickTop="1">
      <c r="A82" s="375" t="s">
        <v>1824</v>
      </c>
      <c r="B82" s="376" t="s">
        <v>432</v>
      </c>
      <c r="C82" s="377">
        <f ca="1">D63</f>
        <v>34384</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1825</v>
      </c>
      <c r="B83" s="376" t="s">
        <v>433</v>
      </c>
      <c r="C83" s="380">
        <v>0</v>
      </c>
      <c r="D83" s="378"/>
      <c r="E83" s="379"/>
      <c r="F83" s="42"/>
      <c r="G83" s="42"/>
      <c r="H83" s="1003"/>
      <c r="I83" s="311"/>
      <c r="J83" s="2029"/>
      <c r="K83" s="3357" t="s">
        <v>2873</v>
      </c>
      <c r="L83" s="3067" t="s">
        <v>2874</v>
      </c>
      <c r="M83" s="3057">
        <f ca="1">IF(N69&gt;10000,N69*0.5%,IF(AND(N69&gt;1000,N69&lt;=10000),N69*1%,IF(AND(N69&gt;100,N69&lt;=1000),N69*3%,IF(AND(N69&gt;10,N69&lt;=100),N69*5%,N69*8%))))</f>
        <v>255.59</v>
      </c>
      <c r="N83" s="53">
        <f ca="1">ROUND(M83,1)</f>
        <v>255.6</v>
      </c>
      <c r="O83" s="3060"/>
      <c r="P83" s="2029"/>
      <c r="Q83" s="2029"/>
      <c r="R83" s="2029"/>
      <c r="S83" s="2029"/>
      <c r="T83" s="2029"/>
      <c r="U83" s="2029"/>
      <c r="V83" s="2029"/>
    </row>
    <row r="84" spans="1:26" ht="12.75">
      <c r="A84" s="381" t="s">
        <v>1826</v>
      </c>
      <c r="B84" s="382" t="s">
        <v>434</v>
      </c>
      <c r="C84" s="383">
        <v>2000</v>
      </c>
      <c r="D84" s="384" t="s">
        <v>19</v>
      </c>
      <c r="E84" s="3102" t="s">
        <v>2934</v>
      </c>
      <c r="F84" s="42"/>
      <c r="G84" s="42"/>
      <c r="H84" s="1003"/>
      <c r="I84" s="311"/>
      <c r="J84" s="2029"/>
      <c r="K84" s="3357"/>
      <c r="L84" s="3067" t="s">
        <v>2875</v>
      </c>
      <c r="M84" s="3057">
        <f ca="1">IF(N69&gt;2000,N69*0.5%,IF(AND(N69&gt;1000,N69&lt;=2000),N69*0.6%,IF(AND(N69&gt;500,N69&lt;=1000),N69*0.7%,IF(AND(N69&gt;200,N69&lt;=500),N69*0.8%,IF(AND(N69&gt;100,N69&lt;=200),N69*0.9%,IF(AND(N69&gt;50,N69&lt;=100),N69*1%,IF(AND(N69&gt;20,N69&lt;=50),N69*1.5%,IF(AND(N69&gt;10,N69&lt;=20),N69*2%,IF(AND(N69&gt;1,N69&lt;=10),N69*2.5%)))))))))</f>
        <v>255.59</v>
      </c>
      <c r="N84" s="53">
        <f t="shared" ref="N84:N85" ca="1" si="2">ROUND(M84,1)</f>
        <v>255.6</v>
      </c>
      <c r="O84" s="2029" t="s">
        <v>2876</v>
      </c>
      <c r="P84" s="2029"/>
      <c r="Q84" s="2029"/>
      <c r="R84" s="2029"/>
      <c r="S84" s="2029"/>
      <c r="T84" s="2029"/>
      <c r="U84" s="2029"/>
      <c r="V84" s="2029"/>
    </row>
    <row r="85" spans="1:26" ht="12.75">
      <c r="A85" s="381" t="s">
        <v>1827</v>
      </c>
      <c r="B85" s="382" t="s">
        <v>435</v>
      </c>
      <c r="C85" s="385">
        <f ca="1">C81-C84</f>
        <v>30747</v>
      </c>
      <c r="D85" s="378" t="s">
        <v>19</v>
      </c>
      <c r="E85" s="379"/>
      <c r="F85" s="42"/>
      <c r="G85" s="42"/>
      <c r="H85" s="1003"/>
      <c r="I85" s="311"/>
      <c r="J85" s="2029"/>
      <c r="K85" s="3357"/>
      <c r="L85" s="3067" t="s">
        <v>2877</v>
      </c>
      <c r="M85" s="3057">
        <f ca="1">IF(N69&gt;1000,N69*0.1%,IF(AND(N69&gt;500,N69&lt;=1000),N69*0.5%,IF(AND(N69&gt;50,N69&lt;=500),N69*1%,IF(AND(N69&gt;1,N69&lt;=50),N69*1.5%))))</f>
        <v>51.118000000000002</v>
      </c>
      <c r="N85" s="53">
        <f t="shared" ca="1" si="2"/>
        <v>51.1</v>
      </c>
      <c r="O85" s="2029" t="s">
        <v>2876</v>
      </c>
      <c r="P85" s="2029"/>
      <c r="Q85" s="2029"/>
      <c r="R85" s="2029"/>
      <c r="S85" s="2029"/>
      <c r="T85" s="2029"/>
      <c r="U85" s="2029"/>
      <c r="V85" s="2029"/>
    </row>
    <row r="86" spans="1:26" ht="13.5" thickBot="1">
      <c r="A86" s="386" t="s">
        <v>1828</v>
      </c>
      <c r="B86" s="387" t="s">
        <v>436</v>
      </c>
      <c r="C86" s="388">
        <f ca="1">IF(C85&lt;=0,0,ROUND(C85*D86,0))</f>
        <v>1722</v>
      </c>
      <c r="D86" s="389">
        <f>'数据-取费表'!B41</f>
        <v>5.6000000000000001E-2</v>
      </c>
      <c r="E86" s="390"/>
      <c r="F86" s="42"/>
      <c r="G86" s="42"/>
      <c r="H86" s="1003"/>
      <c r="I86" s="311"/>
      <c r="J86" s="2029"/>
      <c r="K86" s="3357"/>
      <c r="L86" s="3067" t="s">
        <v>2878</v>
      </c>
      <c r="M86" s="3057">
        <f ca="1">N69*0.5%</f>
        <v>255.59</v>
      </c>
      <c r="N86" s="53">
        <f ca="1">IF(M86&gt;0.5,0.5,ROUND(M86,0))</f>
        <v>0.5</v>
      </c>
      <c r="O86" s="2029" t="s">
        <v>2879</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57"/>
      <c r="L87" s="3067" t="s">
        <v>2880</v>
      </c>
      <c r="M87" s="3057">
        <f ca="1">IF(N69&gt;=10000,(8.25+(N69-10000)*0.01%),IF(AND(N69&gt;=8000,N69&lt;10000),(7.85+(N69-8000)*0.02%),IF(AND(N69&gt;=5000,N69&lt;8000),(6.65+(N69-5000)*0.04%),IF(AND(N69&gt;=2000,N69&lt;5000),(4.25+(PN69-2000)*0.08%),IF(AND(N69&gt;=1000,N69&lt;2000),(2.75+(N69-1000)*0.15%),IF(AND(N69&gt;=100,N69&lt;1000),(0.5+(N69-100)*0.25%),IF(AND(N69&gt;0,N69&lt;100),N69*0.5%)))))))</f>
        <v>12.361800000000001</v>
      </c>
      <c r="N87" s="53">
        <f ca="1">ROUND(M87*0.9,1)</f>
        <v>11.1</v>
      </c>
      <c r="O87" s="3060"/>
      <c r="P87" s="311"/>
      <c r="Q87" s="2029"/>
      <c r="R87" s="2029"/>
      <c r="S87" s="2029"/>
      <c r="T87" s="2029"/>
      <c r="U87" s="2029"/>
      <c r="V87" s="2029"/>
      <c r="W87" s="292"/>
      <c r="X87" s="292"/>
      <c r="Y87" s="292"/>
      <c r="Z87" s="292"/>
    </row>
    <row r="88" spans="1:26" s="1314" customFormat="1" ht="15" thickBot="1">
      <c r="A88" s="3339" t="s">
        <v>437</v>
      </c>
      <c r="B88" s="3340"/>
      <c r="C88" s="3340"/>
      <c r="D88" s="3340"/>
      <c r="E88" s="3340"/>
      <c r="F88" s="3340"/>
      <c r="G88" s="3340"/>
      <c r="H88" s="3340"/>
      <c r="I88" s="1315"/>
      <c r="J88" s="2037"/>
      <c r="K88" s="3357"/>
      <c r="L88" s="3067" t="s">
        <v>2881</v>
      </c>
      <c r="M88" s="3057">
        <f ca="1">IF(N69&gt;10000,N69*0.5%,IF(AND(N69&gt;5000,N69&lt;=10000),N69*1%,IF(AND(N69&gt;1000,N69&lt;=5000),N69*2%,IF(AND(N69&gt;200,N69&lt;=1000),N69*3%,N69*5%))))</f>
        <v>255.59</v>
      </c>
      <c r="N88" s="53">
        <f ca="1">ROUND(M88,1)</f>
        <v>255.6</v>
      </c>
      <c r="O88" s="3060"/>
      <c r="P88" s="11"/>
      <c r="Q88" s="2034"/>
      <c r="R88" s="2034"/>
      <c r="S88" s="2034"/>
      <c r="T88" s="2034"/>
      <c r="U88" s="2034"/>
      <c r="V88" s="2034"/>
      <c r="W88" s="2038"/>
      <c r="X88" s="2038"/>
      <c r="Y88" s="2038"/>
      <c r="Z88" s="2038"/>
    </row>
    <row r="89" spans="1:26" s="1314" customFormat="1" ht="14.25">
      <c r="A89" s="3337" t="s">
        <v>428</v>
      </c>
      <c r="B89" s="3338"/>
      <c r="C89" s="994"/>
      <c r="D89" s="994" t="s">
        <v>429</v>
      </c>
      <c r="E89" s="391" t="s">
        <v>438</v>
      </c>
      <c r="F89" s="392"/>
      <c r="G89" s="392"/>
      <c r="H89" s="393"/>
      <c r="I89" s="1316"/>
      <c r="J89" s="2039"/>
      <c r="K89" s="3357"/>
      <c r="L89" s="3067" t="s">
        <v>27</v>
      </c>
      <c r="M89" s="3058"/>
      <c r="N89" s="53">
        <f ca="1">ROUND(SUM(N83:N88),0)</f>
        <v>830</v>
      </c>
      <c r="O89" s="3068">
        <f ca="1">N89/N69</f>
        <v>1.6236941977385656E-2</v>
      </c>
      <c r="P89" s="2034"/>
      <c r="Q89" s="2034"/>
      <c r="R89" s="2034"/>
      <c r="S89" s="2034"/>
      <c r="T89" s="2034"/>
      <c r="U89" s="2034"/>
      <c r="V89" s="2034"/>
      <c r="W89" s="2038"/>
      <c r="X89" s="2038"/>
      <c r="Y89" s="2038"/>
      <c r="Z89" s="2038"/>
    </row>
    <row r="90" spans="1:26" s="1314" customFormat="1" ht="14.25">
      <c r="A90" s="381" t="s">
        <v>1823</v>
      </c>
      <c r="B90" s="382" t="s">
        <v>439</v>
      </c>
      <c r="C90" s="385">
        <f ca="1">ROUND(D63/(1+'数据-取费表'!C42),0)</f>
        <v>32747</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1829</v>
      </c>
      <c r="B91" s="348" t="s">
        <v>440</v>
      </c>
      <c r="C91" s="385">
        <f ca="1">C92+C96</f>
        <v>2757</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1830</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1831</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1832</v>
      </c>
      <c r="B94" s="400" t="s">
        <v>446</v>
      </c>
      <c r="C94" s="378">
        <f>IF(F93="购房发票",ROUND(C93*H93*5%,0),0)</f>
        <v>500</v>
      </c>
      <c r="D94" s="401">
        <v>0.05</v>
      </c>
      <c r="E94" s="3300" t="s">
        <v>447</v>
      </c>
      <c r="F94" s="3299"/>
      <c r="G94" s="3299"/>
      <c r="H94" s="3336"/>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1833</v>
      </c>
      <c r="B95" s="376" t="s">
        <v>448</v>
      </c>
      <c r="C95" s="378">
        <f>ROUND(IF(G95="个人买卖住房",0,IF(G95="2016年5月1日前购买",C93*D95,C93*D95/(1+'数据-取费表'!C42))),0)</f>
        <v>61</v>
      </c>
      <c r="D95" s="402">
        <f>'数据-取费表'!B48+'数据-取费表'!B49</f>
        <v>3.0519999999999999E-2</v>
      </c>
      <c r="E95" s="26" t="s">
        <v>449</v>
      </c>
      <c r="F95" s="403"/>
      <c r="G95" s="404" t="s">
        <v>2429</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1834</v>
      </c>
      <c r="B96" s="376" t="s">
        <v>450</v>
      </c>
      <c r="C96" s="405">
        <f ca="1">ROUND(D63*D96/(1+'数据-取费表'!C42),0)</f>
        <v>196</v>
      </c>
      <c r="D96" s="406">
        <f>'数据-取费表'!B43</f>
        <v>6.000000000000001E-3</v>
      </c>
      <c r="E96" s="3328" t="s">
        <v>2428</v>
      </c>
      <c r="F96" s="3329"/>
      <c r="G96" s="3329"/>
      <c r="H96" s="3330"/>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1835</v>
      </c>
      <c r="B97" s="382" t="s">
        <v>451</v>
      </c>
      <c r="C97" s="385">
        <f ca="1">C90-C91</f>
        <v>29990</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1836</v>
      </c>
      <c r="B98" s="382" t="s">
        <v>452</v>
      </c>
      <c r="C98" s="407">
        <f ca="1">IF(C97&lt;=0,0,C97/C91)</f>
        <v>10.877765687341313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1837</v>
      </c>
      <c r="B99" s="387" t="s">
        <v>453</v>
      </c>
      <c r="C99" s="408">
        <f ca="1">ROUND(IF(C97&lt;=0,0,IF(C98&gt;=200%,C97*60%-C91*35%,IF(C98&gt;=100%,C97*50%-C91*15%,IF(C98&gt;=50%,C97*40%-C91*5%,IF(C98&lt;50%,C97*30%,0))))),0)</f>
        <v>17029</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39" t="s">
        <v>454</v>
      </c>
      <c r="B101" s="3340"/>
      <c r="C101" s="3340"/>
      <c r="D101" s="3340"/>
      <c r="E101" s="3340"/>
      <c r="F101" s="3340"/>
      <c r="G101" s="3340"/>
      <c r="H101" s="3340"/>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37" t="s">
        <v>428</v>
      </c>
      <c r="B102" s="3338"/>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1823</v>
      </c>
      <c r="B103" s="382" t="s">
        <v>439</v>
      </c>
      <c r="C103" s="385">
        <f ca="1">ROUND(D63/(1+'数据-取费表'!C42),0)</f>
        <v>32747</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1829</v>
      </c>
      <c r="B104" s="348" t="s">
        <v>440</v>
      </c>
      <c r="C104" s="385">
        <f ca="1">IF(H106="仅含出让金",C105+C108+C109+C110+C111+C112,C105+C109+C110+C111+C112)</f>
        <v>886</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1830</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1831</v>
      </c>
      <c r="B106" s="376" t="s">
        <v>456</v>
      </c>
      <c r="C106" s="416">
        <v>555</v>
      </c>
      <c r="D106" s="406"/>
      <c r="E106" s="417" t="s">
        <v>457</v>
      </c>
      <c r="F106" s="986"/>
      <c r="G106" s="418" t="s">
        <v>458</v>
      </c>
      <c r="H106" s="419" t="s">
        <v>2439</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1832</v>
      </c>
      <c r="B107" s="376" t="s">
        <v>448</v>
      </c>
      <c r="C107" s="405">
        <f>ROUND(C106*D107,0)</f>
        <v>17</v>
      </c>
      <c r="D107" s="406">
        <f>'数据-取费表'!B48+'数据-取费表'!B49</f>
        <v>3.0519999999999999E-2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1834</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1838</v>
      </c>
      <c r="B109" s="376" t="s">
        <v>461</v>
      </c>
      <c r="C109" s="405">
        <f>IF(H109="——",IF(F1="现房",'剩余法-现房'!C18,'剩余法-待开发'!C18),I109)</f>
        <v>55</v>
      </c>
      <c r="D109" s="406"/>
      <c r="E109" s="3331" t="s">
        <v>462</v>
      </c>
      <c r="F109" s="3329"/>
      <c r="G109" s="3329"/>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1839</v>
      </c>
      <c r="B110" s="376" t="s">
        <v>463</v>
      </c>
      <c r="C110" s="405">
        <f>ROUND((C105+C108+C109)*D110,0)</f>
        <v>63</v>
      </c>
      <c r="D110" s="406">
        <v>0.1</v>
      </c>
      <c r="E110" s="3331" t="s">
        <v>464</v>
      </c>
      <c r="F110" s="3329"/>
      <c r="G110" s="3329"/>
      <c r="H110" s="3330"/>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1840</v>
      </c>
      <c r="B111" s="376" t="s">
        <v>450</v>
      </c>
      <c r="C111" s="405">
        <f ca="1">ROUND(D63*D111/(1+'数据-取费表'!C42),0)</f>
        <v>196</v>
      </c>
      <c r="D111" s="406">
        <f>'数据-取费表'!B43</f>
        <v>6.000000000000001E-3</v>
      </c>
      <c r="E111" s="3328" t="s">
        <v>2428</v>
      </c>
      <c r="F111" s="3329"/>
      <c r="G111" s="3329"/>
      <c r="H111" s="3330"/>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1841</v>
      </c>
      <c r="B112" s="376" t="s">
        <v>465</v>
      </c>
      <c r="C112" s="405">
        <f>ROUND(C108*D112,0)</f>
        <v>0</v>
      </c>
      <c r="D112" s="406">
        <v>0.2</v>
      </c>
      <c r="E112" s="3331" t="s">
        <v>2453</v>
      </c>
      <c r="F112" s="3329"/>
      <c r="G112" s="3329"/>
      <c r="H112" s="3330"/>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1835</v>
      </c>
      <c r="B113" s="382" t="s">
        <v>451</v>
      </c>
      <c r="C113" s="385">
        <f ca="1">ROUND(C103-C104,0)</f>
        <v>31861</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1836</v>
      </c>
      <c r="B114" s="382" t="s">
        <v>452</v>
      </c>
      <c r="C114" s="407">
        <f ca="1">IF(C113&lt;=0,0,C113/C104)</f>
        <v>35.960496613995488</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1837</v>
      </c>
      <c r="B115" s="387" t="s">
        <v>453</v>
      </c>
      <c r="C115" s="408">
        <f ca="1">ROUND(IF(C113&lt;=0,0,IF(C114&gt;=200%,C113*60%-C104*35%,IF(C114&gt;=100%,C113*50%-C104*15%,IF(C114&gt;=50%,C113*40%-C104*5%,IF(C114&lt;50%,C113*30%,0))))),0)</f>
        <v>18807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108">
    <cfRule type="expression" dxfId="174" priority="3" stopIfTrue="1">
      <formula>$H$106&lt;&gt;"仅含出让金"</formula>
    </cfRule>
  </conditionalFormatting>
  <conditionalFormatting sqref="C109">
    <cfRule type="expression" dxfId="173" priority="2" stopIfTrue="1">
      <formula>$H$109="由企业提供"</formula>
    </cfRule>
  </conditionalFormatting>
  <conditionalFormatting sqref="I33">
    <cfRule type="expression" dxfId="172"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7" zoomScale="80" zoomScaleNormal="80" workbookViewId="0">
      <selection activeCell="I33" sqref="I33:I39"/>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1694</v>
      </c>
      <c r="B1" s="1400"/>
      <c r="C1" s="1406" t="s">
        <v>2426</v>
      </c>
      <c r="D1" s="1521">
        <f>SUM(D29:D30,D33:D39)</f>
        <v>28855</v>
      </c>
      <c r="E1" s="1406" t="s">
        <v>2427</v>
      </c>
      <c r="F1" s="2453"/>
      <c r="G1" s="1401"/>
      <c r="H1" s="1401"/>
      <c r="I1" s="1401"/>
      <c r="J1" s="1401"/>
      <c r="K1" s="1401"/>
      <c r="L1" s="1883" t="s">
        <v>2239</v>
      </c>
      <c r="M1" s="1884">
        <f>SUMPRODUCT((区片价!B5:B9=I2)*(区片价!C3:F3=E2)*(区片价!C5:F9))</f>
        <v>0</v>
      </c>
      <c r="N1" s="1885">
        <f>SUMPRODUCT((因素修正幅度!B5:B9=I2)*(因素修正幅度!C3:F3=E2)*(因素修正幅度!C5:F9))</f>
        <v>0</v>
      </c>
      <c r="O1" s="2190"/>
      <c r="P1" s="2190"/>
      <c r="Q1" s="2190"/>
      <c r="R1" s="2937" t="s">
        <v>2761</v>
      </c>
      <c r="S1" s="2937" t="s">
        <v>2762</v>
      </c>
      <c r="T1" s="2937" t="s">
        <v>2783</v>
      </c>
      <c r="U1" s="2937" t="s">
        <v>2784</v>
      </c>
      <c r="V1" s="2937" t="s">
        <v>2785</v>
      </c>
      <c r="W1" s="2190"/>
      <c r="X1" s="2190"/>
      <c r="Y1" s="2190"/>
      <c r="Z1" s="2190"/>
      <c r="AA1" s="2190"/>
      <c r="AB1" s="2190"/>
      <c r="AC1" s="2191"/>
    </row>
    <row r="2" spans="1:39" ht="15.75">
      <c r="A2" s="1406" t="s">
        <v>920</v>
      </c>
      <c r="B2" s="1038">
        <f ca="1">C26</f>
        <v>24015</v>
      </c>
      <c r="C2" s="1407" t="s">
        <v>921</v>
      </c>
      <c r="D2" s="1408" t="s">
        <v>922</v>
      </c>
      <c r="E2" s="1409" t="s">
        <v>2985</v>
      </c>
      <c r="F2" s="1408" t="s">
        <v>924</v>
      </c>
      <c r="G2" s="1652" t="str">
        <f>IF(E2="商业",项目基本情况!B43,IF(E2="办公",项目基本情况!C43,IF(E2="住宅",项目基本情况!D43,项目基本情况!E43)))</f>
        <v>四级</v>
      </c>
      <c r="H2" s="1408" t="s">
        <v>926</v>
      </c>
      <c r="I2" s="1653" t="str">
        <f>IF(E2="商业",项目基本情况!B44,IF(E2="办公",项目基本情况!C44,IF(E2="住宅",项目基本情况!D44,项目基本情况!E44)))</f>
        <v>Ⅳ-09</v>
      </c>
      <c r="J2" s="1410"/>
      <c r="K2" s="1401"/>
      <c r="L2" s="1886" t="s">
        <v>2240</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2.2717999999999998</v>
      </c>
      <c r="T2" s="2938">
        <f ca="1">ROUND($C$5*$C$18*$C$19*$C$20*S2*$C$24,0)</f>
        <v>55554</v>
      </c>
      <c r="U2" s="2927"/>
      <c r="V2" s="2938">
        <f ca="1">ROUND(T2*U2/10000,0)</f>
        <v>0</v>
      </c>
      <c r="W2" s="2190"/>
      <c r="X2" s="2190"/>
      <c r="Y2" s="2190"/>
      <c r="Z2" s="2190"/>
      <c r="AA2" s="2190"/>
      <c r="AB2" s="2190"/>
      <c r="AC2" s="2191"/>
    </row>
    <row r="3" spans="1:39" ht="24">
      <c r="A3" s="1411" t="s">
        <v>1687</v>
      </c>
      <c r="B3" s="1038">
        <f ca="1">ROUND(B2*10000/D1,0)</f>
        <v>8323</v>
      </c>
      <c r="C3" s="1407" t="s">
        <v>927</v>
      </c>
      <c r="D3" s="1408" t="s">
        <v>928</v>
      </c>
      <c r="E3" s="1412" t="s">
        <v>3440</v>
      </c>
      <c r="F3" s="1413" t="s">
        <v>2929</v>
      </c>
      <c r="G3" s="1039">
        <f>IF(F3="宗地容积率",'数据-汇总表'!I4,IF(F3="估价对象容积率",'数据-汇总表'!I6,'数据-汇总表'!I7))</f>
        <v>0.82</v>
      </c>
      <c r="H3" s="1414" t="s">
        <v>929</v>
      </c>
      <c r="I3" s="1040">
        <v>1</v>
      </c>
      <c r="J3" s="1410" t="s">
        <v>930</v>
      </c>
      <c r="K3" s="1401"/>
      <c r="L3" s="1886" t="s">
        <v>2241</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1.6307</v>
      </c>
      <c r="T3" s="2938">
        <f t="shared" ref="T3:T16" ca="1" si="0">ROUND($C$5*$C$18*$C$19*$C$20*S3*$C$24,0)</f>
        <v>39877</v>
      </c>
      <c r="U3" s="2927"/>
      <c r="V3" s="2938">
        <f t="shared" ref="V3:V16" ca="1" si="1">ROUND(T3*U3/10000,0)</f>
        <v>0</v>
      </c>
      <c r="W3" s="2190"/>
      <c r="X3" s="2190"/>
      <c r="Y3" s="2190"/>
      <c r="Z3" s="2190"/>
      <c r="AA3" s="2190"/>
      <c r="AB3" s="2190"/>
      <c r="AC3" s="2191"/>
    </row>
    <row r="4" spans="1:39" ht="28.5">
      <c r="A4" s="1892" t="s">
        <v>2281</v>
      </c>
      <c r="B4" s="2454" t="e">
        <f ca="1">ROUND(B2*10000/F1,0)</f>
        <v>#DIV/0!</v>
      </c>
      <c r="C4" s="1895" t="s">
        <v>2255</v>
      </c>
      <c r="D4" s="1895" t="e">
        <f ca="1">ROUND(B2/(F1/666.67),0)</f>
        <v>#DIV/0!</v>
      </c>
      <c r="E4" s="1895" t="s">
        <v>2256</v>
      </c>
      <c r="F4" s="1893"/>
      <c r="G4" s="1893"/>
      <c r="H4" s="1893"/>
      <c r="I4" s="1893"/>
      <c r="J4" s="1894"/>
      <c r="K4" s="1401"/>
      <c r="L4" s="1886" t="s">
        <v>2242</v>
      </c>
      <c r="M4" s="1887">
        <f>SUMPRODUCT((区片价!B49:B75=I2)*(区片价!C3:F3=E2)*(区片价!C49:F75))</f>
        <v>16160</v>
      </c>
      <c r="N4" s="1888">
        <f>SUMPRODUCT((因素修正幅度!B49:B75=I2)*(因素修正幅度!C3:F3=E2)*(因素修正幅度!C49:F75))</f>
        <v>9.7000000000000003E-2</v>
      </c>
      <c r="O4" s="2190"/>
      <c r="P4" s="2190"/>
      <c r="Q4" s="2190"/>
      <c r="R4" s="2938">
        <v>3</v>
      </c>
      <c r="S4" s="2938">
        <f>ROUND(IF(G3&gt;1,IF(R4&lt;7,SUMPRODUCT((B93:B98=R4)*(C92:N92=G2)*(C93:N98)),SUMIF(C92:N92,G2,C100:N100)),IF(R4&lt;7,SUMPRODUCT((B102:B107=R4)*(C92:N92=G2)*(C102:N107)),SUMIF(C92:N92,G2,C109:N109))),4)</f>
        <v>1.3156000000000001</v>
      </c>
      <c r="T4" s="2938">
        <f t="shared" ca="1" si="0"/>
        <v>32171</v>
      </c>
      <c r="U4" s="2927"/>
      <c r="V4" s="2938">
        <f t="shared" ca="1" si="1"/>
        <v>0</v>
      </c>
      <c r="W4" s="2190"/>
      <c r="X4" s="2190"/>
      <c r="Y4" s="2190"/>
      <c r="Z4" s="2190"/>
      <c r="AA4" s="2190"/>
      <c r="AB4" s="2190"/>
      <c r="AC4" s="2191"/>
    </row>
    <row r="5" spans="1:39" s="1421" customFormat="1" ht="15.75" thickBot="1">
      <c r="A5" s="1638" t="s">
        <v>1823</v>
      </c>
      <c r="B5" s="1415" t="s">
        <v>931</v>
      </c>
      <c r="C5" s="1041">
        <f>ROUND(IF(E2="商业",IF(F16="增加",C6*C7+C16,C6*C7-C16),IF(E2="住宅",IF(F16="增加",C6*C12+C16,C6*C12-C16),IF(F16="增加",C6+C16,C6-C16))),0)</f>
        <v>16160</v>
      </c>
      <c r="D5" s="3122">
        <f>ROUND(IF(E2="商业",IF(F16="增加",C6+C16,C6-C16)),0)</f>
        <v>16160</v>
      </c>
      <c r="E5" s="1416"/>
      <c r="F5" s="1416"/>
      <c r="G5" s="1417"/>
      <c r="H5" s="1417"/>
      <c r="I5" s="1417"/>
      <c r="J5" s="1418"/>
      <c r="K5" s="1594"/>
      <c r="L5" s="1886" t="s">
        <v>2243</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1.0556000000000001</v>
      </c>
      <c r="T5" s="2938">
        <f t="shared" ca="1" si="0"/>
        <v>25813</v>
      </c>
      <c r="U5" s="2927"/>
      <c r="V5" s="2938">
        <f t="shared" ca="1" si="1"/>
        <v>0</v>
      </c>
      <c r="W5" s="2190"/>
      <c r="X5" s="2190"/>
      <c r="Y5" s="2190"/>
      <c r="Z5" s="2190"/>
      <c r="AA5" s="2190"/>
      <c r="AB5" s="2190"/>
      <c r="AC5" s="2192"/>
      <c r="AD5" s="1419"/>
      <c r="AE5" s="1419"/>
      <c r="AF5" s="1419"/>
      <c r="AG5" s="1419"/>
      <c r="AH5" s="1419"/>
      <c r="AI5" s="1419"/>
      <c r="AJ5" s="1420"/>
      <c r="AK5" s="1420"/>
      <c r="AL5" s="1420"/>
      <c r="AM5" s="1420"/>
    </row>
    <row r="6" spans="1:39" ht="15.75" thickBot="1">
      <c r="A6" s="1639" t="s">
        <v>1870</v>
      </c>
      <c r="B6" s="1422" t="s">
        <v>931</v>
      </c>
      <c r="C6" s="1042">
        <f>SUMIF(L1:L12,基准地价!G2,M1:M12)</f>
        <v>16160</v>
      </c>
      <c r="D6" s="1423" t="s">
        <v>1695</v>
      </c>
      <c r="E6" s="1424"/>
      <c r="F6" s="1424"/>
      <c r="G6" s="1425"/>
      <c r="H6" s="1425"/>
      <c r="I6" s="1425"/>
      <c r="J6" s="1426"/>
      <c r="K6" s="1595"/>
      <c r="L6" s="1886" t="s">
        <v>2244</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0.89890000000000003</v>
      </c>
      <c r="T6" s="2938">
        <f t="shared" ca="1" si="0"/>
        <v>21981</v>
      </c>
      <c r="U6" s="2927"/>
      <c r="V6" s="2938">
        <f t="shared" ca="1" si="1"/>
        <v>0</v>
      </c>
      <c r="W6" s="2190"/>
      <c r="X6" s="2190"/>
      <c r="Y6" s="2190"/>
      <c r="Z6" s="2190"/>
      <c r="AA6" s="2190"/>
      <c r="AB6" s="2190"/>
      <c r="AC6" s="2192"/>
      <c r="AD6" s="1419"/>
      <c r="AE6" s="1419"/>
      <c r="AF6" s="1419"/>
      <c r="AG6" s="1419"/>
      <c r="AH6" s="1419"/>
      <c r="AI6" s="1419"/>
      <c r="AJ6" s="1420"/>
    </row>
    <row r="7" spans="1:39" ht="24">
      <c r="A7" s="3382" t="str">
        <f>IF(E2="商业",IF(C8="不临58条商业街","",2),"")</f>
        <v/>
      </c>
      <c r="B7" s="1427" t="s">
        <v>932</v>
      </c>
      <c r="C7" s="1043">
        <f>IF(C8="不临58条商业街",1,ROUND(1+(1.6*E8+1.2*E9+0.8*E10+0.4*E11)*C9,4))</f>
        <v>1</v>
      </c>
      <c r="D7" s="1428" t="s">
        <v>933</v>
      </c>
      <c r="E7" s="1044"/>
      <c r="F7" s="1429"/>
      <c r="G7" s="1430"/>
      <c r="H7" s="1430"/>
      <c r="I7" s="1430"/>
      <c r="J7" s="1431"/>
      <c r="K7" s="1595"/>
      <c r="L7" s="1886" t="s">
        <v>2245</v>
      </c>
      <c r="M7" s="1887">
        <f>SUMPRODUCT((区片价!B158:B205=I2)*(区片价!C3:F3=E2)*(区片价!C158:F205))</f>
        <v>0</v>
      </c>
      <c r="N7" s="1888">
        <f>SUMPRODUCT((因素修正幅度!B158:B205=I2)*(因素修正幅度!C3:F3=E2)*(因素修正幅度!C158:F205))</f>
        <v>0</v>
      </c>
      <c r="O7" s="2190"/>
      <c r="P7" s="2190"/>
      <c r="Q7" s="2190"/>
      <c r="R7" s="2938">
        <v>6</v>
      </c>
      <c r="S7" s="2938">
        <f>ROUND(IF(G3&gt;1,IF(R7&lt;7,SUMPRODUCT((B93:B98=R7)*(C92:N92=G2)*(C93:N98)),SUMIF(C92:N92,G2,C100:N100)),IF(R7&lt;7,SUMPRODUCT((B102:B107=R7)*(C92:N92=G2)*(C102:N107)),SUMIF(C92:N92,G2,C109:N109))),4)</f>
        <v>0.79049999999999998</v>
      </c>
      <c r="T7" s="2938">
        <f t="shared" ca="1" si="0"/>
        <v>19331</v>
      </c>
      <c r="U7" s="2927"/>
      <c r="V7" s="2938">
        <f t="shared" ca="1" si="1"/>
        <v>0</v>
      </c>
      <c r="W7" s="2936" t="s">
        <v>2764</v>
      </c>
      <c r="X7" s="2928" t="str">
        <f>G2</f>
        <v>四级</v>
      </c>
      <c r="Y7" s="2928" t="s">
        <v>2765</v>
      </c>
      <c r="Z7" s="2929">
        <f>G3</f>
        <v>0.82</v>
      </c>
      <c r="AA7" s="2193"/>
      <c r="AB7" s="2193"/>
      <c r="AC7" s="2194"/>
      <c r="AD7" s="2930"/>
      <c r="AE7" s="2930"/>
      <c r="AF7" s="2930"/>
      <c r="AG7" s="2930"/>
      <c r="AH7" s="2930"/>
      <c r="AI7" s="2930"/>
      <c r="AJ7" s="2931"/>
    </row>
    <row r="8" spans="1:39" ht="25.5">
      <c r="A8" s="3383"/>
      <c r="B8" s="1414" t="s">
        <v>934</v>
      </c>
      <c r="C8" s="1529" t="s">
        <v>3441</v>
      </c>
      <c r="D8" s="1045" t="s">
        <v>935</v>
      </c>
      <c r="E8" s="1046" t="e">
        <f>ROUND(C11/E7,4)</f>
        <v>#DIV/0!</v>
      </c>
      <c r="F8" s="1432" t="s">
        <v>936</v>
      </c>
      <c r="G8" s="1433"/>
      <c r="H8" s="1433"/>
      <c r="I8" s="1433"/>
      <c r="J8" s="1434"/>
      <c r="K8" s="1401"/>
      <c r="L8" s="1886" t="s">
        <v>2246</v>
      </c>
      <c r="M8" s="1887">
        <f>SUMPRODUCT((区片价!B206:B244=I2)*(区片价!C3:F3=E2)*(区片价!C206:F244))</f>
        <v>0</v>
      </c>
      <c r="N8" s="1888">
        <f>SUMPRODUCT((因素修正幅度!B206:B244=I2)*(因素修正幅度!C3:F3=E2)*(因素修正幅度!C206:F244))</f>
        <v>0</v>
      </c>
      <c r="O8" s="2190"/>
      <c r="P8" s="2190"/>
      <c r="Q8" s="2190"/>
      <c r="R8" s="2938">
        <v>7</v>
      </c>
      <c r="S8" s="2927"/>
      <c r="T8" s="2938">
        <f t="shared" ca="1" si="0"/>
        <v>0</v>
      </c>
      <c r="U8" s="2927"/>
      <c r="V8" s="2938">
        <f t="shared" ca="1" si="1"/>
        <v>0</v>
      </c>
      <c r="W8" s="3374" t="s">
        <v>2782</v>
      </c>
      <c r="X8" s="3375"/>
      <c r="Y8" s="1850" t="s">
        <v>2766</v>
      </c>
      <c r="Z8" s="1850" t="s">
        <v>2767</v>
      </c>
      <c r="AA8" s="1850" t="s">
        <v>2768</v>
      </c>
      <c r="AB8" s="1850" t="s">
        <v>2769</v>
      </c>
      <c r="AC8" s="1850" t="s">
        <v>2770</v>
      </c>
      <c r="AD8" s="1850" t="s">
        <v>2771</v>
      </c>
      <c r="AE8" s="1850" t="s">
        <v>2772</v>
      </c>
      <c r="AF8" s="1850" t="s">
        <v>2773</v>
      </c>
      <c r="AG8" s="1850" t="s">
        <v>2774</v>
      </c>
      <c r="AH8" s="1850" t="s">
        <v>2775</v>
      </c>
      <c r="AI8" s="1850" t="s">
        <v>2776</v>
      </c>
      <c r="AJ8" s="1850" t="s">
        <v>2777</v>
      </c>
    </row>
    <row r="9" spans="1:39" ht="15">
      <c r="A9" s="3383"/>
      <c r="B9" s="1414" t="s">
        <v>937</v>
      </c>
      <c r="C9" s="1047">
        <f>SUMIF(修正!C59:C119,C8,修正!E59:E119)</f>
        <v>0</v>
      </c>
      <c r="D9" s="1048" t="s">
        <v>938</v>
      </c>
      <c r="E9" s="1048" t="e">
        <f>ROUND(C11/E7,4)</f>
        <v>#DIV/0!</v>
      </c>
      <c r="F9" s="1432" t="s">
        <v>939</v>
      </c>
      <c r="G9" s="1433"/>
      <c r="H9" s="1433"/>
      <c r="I9" s="1433"/>
      <c r="J9" s="1434"/>
      <c r="K9" s="1401"/>
      <c r="L9" s="1886" t="s">
        <v>2247</v>
      </c>
      <c r="M9" s="1887">
        <f>SUMPRODUCT((区片价!B245:B289=I2)*(区片价!C3:F3=E2)*(区片价!C245:F289))</f>
        <v>0</v>
      </c>
      <c r="N9" s="1888">
        <f>SUMPRODUCT((因素修正幅度!B245:B289=I2)*(因素修正幅度!C3:F3=E2)*(因素修正幅度!C245:F289))</f>
        <v>0</v>
      </c>
      <c r="O9" s="2190"/>
      <c r="P9" s="2190"/>
      <c r="Q9" s="2190"/>
      <c r="R9" s="2938">
        <v>8</v>
      </c>
      <c r="S9" s="2927"/>
      <c r="T9" s="2938">
        <f t="shared" ca="1" si="0"/>
        <v>0</v>
      </c>
      <c r="U9" s="2927"/>
      <c r="V9" s="2938">
        <f t="shared" ca="1" si="1"/>
        <v>0</v>
      </c>
      <c r="W9" s="3373" t="s">
        <v>2778</v>
      </c>
      <c r="X9" s="2932" t="s">
        <v>2779</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383"/>
      <c r="B10" s="1414" t="s">
        <v>940</v>
      </c>
      <c r="C10" s="1048">
        <f>SUMIF(修正!C59:C119,C8,修正!F59:F119)</f>
        <v>0</v>
      </c>
      <c r="D10" s="1048" t="s">
        <v>941</v>
      </c>
      <c r="E10" s="1048" t="e">
        <f>ROUND(C11/E7,4)</f>
        <v>#DIV/0!</v>
      </c>
      <c r="F10" s="1432" t="s">
        <v>942</v>
      </c>
      <c r="G10" s="1433"/>
      <c r="H10" s="1433"/>
      <c r="I10" s="1433"/>
      <c r="J10" s="1434"/>
      <c r="K10" s="1401"/>
      <c r="L10" s="1886" t="s">
        <v>2248</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f t="shared" ca="1" si="0"/>
        <v>0</v>
      </c>
      <c r="U10" s="2927"/>
      <c r="V10" s="2938">
        <f t="shared" ca="1" si="1"/>
        <v>0</v>
      </c>
      <c r="W10" s="3373"/>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383"/>
      <c r="B11" s="1435" t="s">
        <v>943</v>
      </c>
      <c r="C11" s="1049">
        <f>C10/4</f>
        <v>0</v>
      </c>
      <c r="D11" s="1049" t="s">
        <v>944</v>
      </c>
      <c r="E11" s="1049" t="e">
        <f>ROUND(C11/E7,4)</f>
        <v>#DIV/0!</v>
      </c>
      <c r="F11" s="1436" t="s">
        <v>945</v>
      </c>
      <c r="G11" s="1437"/>
      <c r="H11" s="1437"/>
      <c r="I11" s="1437"/>
      <c r="J11" s="1438"/>
      <c r="K11" s="1401"/>
      <c r="L11" s="1886" t="s">
        <v>2249</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f t="shared" ca="1" si="0"/>
        <v>0</v>
      </c>
      <c r="U11" s="2927"/>
      <c r="V11" s="2938">
        <f t="shared" ca="1" si="1"/>
        <v>0</v>
      </c>
      <c r="W11" s="3373" t="s">
        <v>2780</v>
      </c>
      <c r="X11" s="1048" t="s">
        <v>2765</v>
      </c>
      <c r="Y11" s="1653">
        <f>$G$3</f>
        <v>0.82</v>
      </c>
      <c r="Z11" s="1653">
        <f t="shared" ref="Z11:AJ11" si="3">$G$3</f>
        <v>0.82</v>
      </c>
      <c r="AA11" s="1653">
        <f t="shared" si="3"/>
        <v>0.82</v>
      </c>
      <c r="AB11" s="1653">
        <f t="shared" si="3"/>
        <v>0.82</v>
      </c>
      <c r="AC11" s="1653">
        <f t="shared" si="3"/>
        <v>0.82</v>
      </c>
      <c r="AD11" s="1653">
        <f t="shared" si="3"/>
        <v>0.82</v>
      </c>
      <c r="AE11" s="1653">
        <f t="shared" si="3"/>
        <v>0.82</v>
      </c>
      <c r="AF11" s="1653">
        <f t="shared" si="3"/>
        <v>0.82</v>
      </c>
      <c r="AG11" s="1653">
        <f t="shared" si="3"/>
        <v>0.82</v>
      </c>
      <c r="AH11" s="1653">
        <f t="shared" si="3"/>
        <v>0.82</v>
      </c>
      <c r="AI11" s="1653">
        <f t="shared" si="3"/>
        <v>0.82</v>
      </c>
      <c r="AJ11" s="1653">
        <f t="shared" si="3"/>
        <v>0.82</v>
      </c>
    </row>
    <row r="12" spans="1:39" ht="25.5" thickBot="1">
      <c r="A12" s="3382" t="s">
        <v>1871</v>
      </c>
      <c r="B12" s="1439" t="s">
        <v>946</v>
      </c>
      <c r="C12" s="1043">
        <f>ROUND(C15*D15*E15*F15*G15*H15*I15*J15,4)</f>
        <v>1</v>
      </c>
      <c r="D12" s="1440" t="s">
        <v>947</v>
      </c>
      <c r="E12" s="1441"/>
      <c r="F12" s="1441"/>
      <c r="G12" s="1442"/>
      <c r="H12" s="1442"/>
      <c r="I12" s="1442"/>
      <c r="J12" s="1443"/>
      <c r="K12" s="1401"/>
      <c r="L12" s="1889" t="s">
        <v>2250</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f t="shared" ca="1" si="0"/>
        <v>0</v>
      </c>
      <c r="U12" s="2927"/>
      <c r="V12" s="2938">
        <f t="shared" ca="1" si="1"/>
        <v>0</v>
      </c>
      <c r="W12" s="3373"/>
      <c r="X12" s="2935" t="s">
        <v>2781</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384"/>
      <c r="B13" s="1444" t="s">
        <v>1696</v>
      </c>
      <c r="C13" s="1445" t="s">
        <v>1697</v>
      </c>
      <c r="D13" s="1089" t="s">
        <v>1698</v>
      </c>
      <c r="E13" s="1089" t="s">
        <v>1699</v>
      </c>
      <c r="F13" s="1446" t="s">
        <v>948</v>
      </c>
      <c r="G13" s="1447" t="s">
        <v>1643</v>
      </c>
      <c r="H13" s="1448" t="s">
        <v>1643</v>
      </c>
      <c r="I13" s="1449" t="s">
        <v>1643</v>
      </c>
      <c r="J13" s="1450" t="s">
        <v>1643</v>
      </c>
      <c r="K13" s="1401"/>
      <c r="L13" s="2190"/>
      <c r="M13" s="2190"/>
      <c r="N13" s="2190"/>
      <c r="O13" s="2190"/>
      <c r="P13" s="2190"/>
      <c r="Q13" s="2190"/>
      <c r="R13" s="2938">
        <v>12</v>
      </c>
      <c r="S13" s="2927"/>
      <c r="T13" s="2938">
        <f t="shared" ca="1" si="0"/>
        <v>0</v>
      </c>
      <c r="U13" s="2927"/>
      <c r="V13" s="2938">
        <f t="shared" ca="1" si="1"/>
        <v>0</v>
      </c>
      <c r="W13" s="3373"/>
      <c r="X13" s="2935"/>
      <c r="Y13" s="2934">
        <f>(-0.163*(Y12^2)-0.59*Y12+7617)*(10^(-4))/Y11</f>
        <v>0.9289024390243904</v>
      </c>
      <c r="Z13" s="2934">
        <f t="shared" ref="Z13:AJ13" si="5">(-0.163*(Z12^2)-0.59*Z12+7617)*(10^(-4))/Z11</f>
        <v>0.9289024390243904</v>
      </c>
      <c r="AA13" s="2934">
        <f t="shared" si="5"/>
        <v>0.9289024390243904</v>
      </c>
      <c r="AB13" s="2934">
        <f t="shared" si="5"/>
        <v>0.9289024390243904</v>
      </c>
      <c r="AC13" s="2934">
        <f t="shared" si="5"/>
        <v>0.9289024390243904</v>
      </c>
      <c r="AD13" s="2934">
        <f t="shared" si="5"/>
        <v>0.9289024390243904</v>
      </c>
      <c r="AE13" s="2934">
        <f t="shared" si="5"/>
        <v>0.9289024390243904</v>
      </c>
      <c r="AF13" s="2934">
        <f t="shared" si="5"/>
        <v>0.9289024390243904</v>
      </c>
      <c r="AG13" s="2934">
        <f t="shared" si="5"/>
        <v>0.9289024390243904</v>
      </c>
      <c r="AH13" s="2934">
        <f t="shared" si="5"/>
        <v>0.9289024390243904</v>
      </c>
      <c r="AI13" s="2934">
        <f t="shared" si="5"/>
        <v>0.9289024390243904</v>
      </c>
      <c r="AJ13" s="2934">
        <f t="shared" si="5"/>
        <v>0.9289024390243904</v>
      </c>
    </row>
    <row r="14" spans="1:39" ht="12.75" customHeight="1" thickBot="1">
      <c r="A14" s="3384"/>
      <c r="B14" s="1451"/>
      <c r="C14" s="1452"/>
      <c r="D14" s="1453"/>
      <c r="E14" s="1453"/>
      <c r="F14" s="1454"/>
      <c r="G14" s="1455" t="s">
        <v>949</v>
      </c>
      <c r="H14" s="1456"/>
      <c r="I14" s="1457"/>
      <c r="J14" s="1458"/>
      <c r="K14" s="1401"/>
      <c r="L14" s="2190"/>
      <c r="M14" s="2190"/>
      <c r="N14" s="2190"/>
      <c r="O14" s="2190"/>
      <c r="P14" s="2190"/>
      <c r="Q14" s="2190"/>
      <c r="R14" s="2938">
        <v>13</v>
      </c>
      <c r="S14" s="2927"/>
      <c r="T14" s="2938">
        <f t="shared" ca="1" si="0"/>
        <v>0</v>
      </c>
      <c r="U14" s="2927"/>
      <c r="V14" s="2938">
        <f t="shared" ca="1" si="1"/>
        <v>0</v>
      </c>
      <c r="W14" s="2190"/>
      <c r="X14" s="2190"/>
      <c r="Y14" s="2190"/>
      <c r="Z14" s="2190"/>
      <c r="AA14" s="2190"/>
      <c r="AB14" s="2190"/>
      <c r="AC14" s="2191"/>
    </row>
    <row r="15" spans="1:39" ht="13.5" customHeight="1" thickBot="1">
      <c r="A15" s="3385"/>
      <c r="B15" s="1459" t="s">
        <v>1700</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90"/>
      <c r="R15" s="2938">
        <v>14</v>
      </c>
      <c r="S15" s="2927"/>
      <c r="T15" s="2938">
        <f t="shared" ca="1" si="0"/>
        <v>0</v>
      </c>
      <c r="U15" s="2927"/>
      <c r="V15" s="2938">
        <f t="shared" ca="1" si="1"/>
        <v>0</v>
      </c>
      <c r="W15" s="2190"/>
      <c r="X15" s="2190"/>
      <c r="Y15" s="2190"/>
      <c r="Z15" s="2190"/>
      <c r="AA15" s="2190"/>
      <c r="AB15" s="2190"/>
      <c r="AC15" s="2191"/>
    </row>
    <row r="16" spans="1:39" ht="24">
      <c r="A16" s="3382" t="s">
        <v>1838</v>
      </c>
      <c r="B16" s="1427" t="s">
        <v>950</v>
      </c>
      <c r="C16" s="1054">
        <f>ROUND(SUM(G17:J17)/C17,0)</f>
        <v>0</v>
      </c>
      <c r="D16" s="1460" t="s">
        <v>951</v>
      </c>
      <c r="E16" s="1461" t="s">
        <v>3442</v>
      </c>
      <c r="F16" s="1462" t="s">
        <v>2990</v>
      </c>
      <c r="G16" s="1463"/>
      <c r="H16" s="1463"/>
      <c r="I16" s="1463"/>
      <c r="J16" s="1463"/>
      <c r="K16" s="1401"/>
      <c r="L16" s="1464" t="s">
        <v>988</v>
      </c>
      <c r="M16" s="1047">
        <v>0.25</v>
      </c>
      <c r="N16" s="1047">
        <v>0.2</v>
      </c>
      <c r="O16" s="1047">
        <v>0.15</v>
      </c>
      <c r="P16" s="1539">
        <v>0.1</v>
      </c>
      <c r="Q16" s="2193"/>
      <c r="R16" s="2938">
        <v>15</v>
      </c>
      <c r="S16" s="2927"/>
      <c r="T16" s="2938">
        <f t="shared" ca="1" si="0"/>
        <v>0</v>
      </c>
      <c r="U16" s="2927"/>
      <c r="V16" s="2938">
        <f t="shared" ca="1" si="1"/>
        <v>0</v>
      </c>
      <c r="W16" s="2193"/>
      <c r="X16" s="2193"/>
      <c r="Y16" s="2193"/>
      <c r="Z16" s="2193"/>
      <c r="AA16" s="2193"/>
      <c r="AB16" s="2193"/>
      <c r="AC16" s="2194"/>
    </row>
    <row r="17" spans="1:40" ht="13.5" thickBot="1">
      <c r="A17" s="3383"/>
      <c r="B17" s="1465" t="s">
        <v>953</v>
      </c>
      <c r="C17" s="1055">
        <f>SUMPRODUCT((修正!A2:A5=E2)*(修正!B1:M1=G2)*(修正!B2:M5))</f>
        <v>2.5</v>
      </c>
      <c r="D17" s="1467" t="s">
        <v>954</v>
      </c>
      <c r="E17" s="1468" t="str">
        <f>IF(OR(G2="八级",G2="九级",G2="十级",G2="十一级",G2="十二级"),"五通一平","七通一平")</f>
        <v>七通一平</v>
      </c>
      <c r="F17" s="1466"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1829</v>
      </c>
      <c r="B18" s="2773" t="s">
        <v>956</v>
      </c>
      <c r="C18" s="2774">
        <f>SUMIF(修正!C18:C39,E3,修正!E18:E39)</f>
        <v>1.1000000000000001</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1835</v>
      </c>
      <c r="B19" s="1470" t="s">
        <v>957</v>
      </c>
      <c r="C19" s="1057">
        <f>ROUND(IF(H19="按公示增长率计算",SUMPRODUCT((地价!A3:A24=YEAR(G19)&amp;"-"&amp;ROUNDUP(MONTH(G19)/3,0))*(地价!X2:AB2=E2)*(地价!X3:AB24)),IF(H19="地价指数",M20/M19,(1+I19)^O19)),4)</f>
        <v>1.3237000000000001</v>
      </c>
      <c r="D19" s="1474" t="s">
        <v>958</v>
      </c>
      <c r="E19" s="1058">
        <v>41640</v>
      </c>
      <c r="F19" s="1474" t="s">
        <v>959</v>
      </c>
      <c r="G19" s="1059">
        <f>'数据-取费表'!B2</f>
        <v>43402</v>
      </c>
      <c r="H19" s="1475" t="s">
        <v>3443</v>
      </c>
      <c r="I19" s="2785" t="str">
        <f>IF(H19="季度增幅（自定义）",SUMIF(N21:N24,E2,O21:O24),"")</f>
        <v/>
      </c>
      <c r="J19" s="1471"/>
      <c r="K19" s="1481"/>
      <c r="L19" s="3041" t="s">
        <v>2840</v>
      </c>
      <c r="M19" s="3042">
        <f>ROUND(SUMIF(地价!B2:F2,E2,地价!B24:F24),0)</f>
        <v>258</v>
      </c>
      <c r="N19" s="2787" t="s">
        <v>1677</v>
      </c>
      <c r="O19" s="2786">
        <f>ROUNDDOWN(DATEDIF(E19,G19,"M")/3,0)</f>
        <v>19</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1836</v>
      </c>
      <c r="B20" s="2780" t="s">
        <v>972</v>
      </c>
      <c r="C20" s="2781">
        <f ca="1">ROUND(POWER(1+G20,J20-I20)*(POWER(1+G20,I20)-1)/(POWER(1+G20,J20)-1),4)</f>
        <v>0.98919999999999997</v>
      </c>
      <c r="D20" s="2782" t="s">
        <v>973</v>
      </c>
      <c r="E20" s="3097">
        <f ca="1">存贷款利率!I4/100</f>
        <v>4.3499999999999997E-2</v>
      </c>
      <c r="F20" s="2782" t="s">
        <v>974</v>
      </c>
      <c r="G20" s="2783">
        <f ca="1">SUMIF(M15:P15,E2,M17:P17)</f>
        <v>5.3999999999999999E-2</v>
      </c>
      <c r="H20" s="2782" t="s">
        <v>975</v>
      </c>
      <c r="I20" s="2772">
        <f>SUMIF('数据-取费表'!C6:C15,E2,'数据-取费表'!F6:F15)/COUNTIF('数据-取费表'!C6:C15,E2)</f>
        <v>38.58</v>
      </c>
      <c r="J20" s="2784">
        <f>IF(E2="住宅",70,IF(E2="商业",40,50))</f>
        <v>40</v>
      </c>
      <c r="K20" s="1481"/>
      <c r="L20" s="3043" t="s">
        <v>2841</v>
      </c>
      <c r="M20" s="3044">
        <f>ROUND(SUMPRODUCT((地价!A4:A24=YEAR(G19)&amp;"-"&amp;ROUNDUP(MONTH(G19)/3,0))*(地价!B2:F2=E2)*(地价!B4:F24)),0)</f>
        <v>341</v>
      </c>
      <c r="N20" s="2790" t="s">
        <v>2645</v>
      </c>
      <c r="O20" s="2788" t="s">
        <v>2644</v>
      </c>
      <c r="P20" s="2789" t="s">
        <v>2649</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1837</v>
      </c>
      <c r="B21" s="1480" t="s">
        <v>2760</v>
      </c>
      <c r="C21" s="1158">
        <f>IF(B21="容积率修正",IF(G3&lt;=10,D22,J22),C23)</f>
        <v>2.2717999999999998</v>
      </c>
      <c r="D21" s="1481"/>
      <c r="E21" s="1481"/>
      <c r="F21" s="1481"/>
      <c r="G21" s="1481"/>
      <c r="H21" s="1481"/>
      <c r="I21" s="1481"/>
      <c r="J21" s="1482"/>
      <c r="K21" s="1481"/>
      <c r="L21" s="1481"/>
      <c r="M21" s="1481"/>
      <c r="N21" s="1478" t="s">
        <v>976</v>
      </c>
      <c r="O21" s="1542"/>
      <c r="P21" s="2770">
        <f>SUMPRODUCT((地价!A3:A24=YEAR(G19)&amp;"-"&amp;ROUNDUP(MONTH(G19)/3,0))*(地价!AD2:AH2=N21)*(地价!AD3:AH24))</f>
        <v>1.5299999999999999E-2</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1870</v>
      </c>
      <c r="B22" s="1483" t="s">
        <v>977</v>
      </c>
      <c r="C22" s="1060" t="s">
        <v>1702</v>
      </c>
      <c r="D22" s="1060">
        <f>IF(E22=G22,F22,IF(G3&lt;=10,ROUND(F22+(H22-F22)*(G3-E22)/(G22-E22),4),"——"))</f>
        <v>1.7433000000000001</v>
      </c>
      <c r="E22" s="1039">
        <f>ROUNDDOWN(G3,1)</f>
        <v>0.8</v>
      </c>
      <c r="F22" s="106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1.7828999999999999</v>
      </c>
      <c r="G22" s="1039">
        <f>ROUNDUP(G3,1)</f>
        <v>0.9</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1.5848</v>
      </c>
      <c r="I22" s="1060" t="s">
        <v>978</v>
      </c>
      <c r="J22" s="1060" t="str">
        <f>IF(G3&gt;10,D113,"——")</f>
        <v>——</v>
      </c>
      <c r="K22" s="1481"/>
      <c r="L22" s="1481"/>
      <c r="M22" s="1481"/>
      <c r="N22" s="1478" t="s">
        <v>979</v>
      </c>
      <c r="O22" s="1542"/>
      <c r="P22" s="2770">
        <f>SUMPRODUCT((地价!A3:A24=YEAR(G19)&amp;"-"&amp;ROUNDUP(MONTH(G19)/3,0))*(地价!AD2:AH2=N22)*(地价!AD3:AH24))</f>
        <v>1.5299999999999999E-2</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1871</v>
      </c>
      <c r="B23" s="1483" t="s">
        <v>980</v>
      </c>
      <c r="C23" s="1061">
        <f>ROUND(IF(G3&gt;1,IF(I3&lt;7,SUMPRODUCT((B93:B98=I3)*(C92:N92=G2)*(C93:N98)),SUMIF(C92:N92,G2,C100:N100)),IF(I3&lt;7,SUMPRODUCT((B102:B107=I3)*(C92:N92=G2)*(C102:N107)),SUMIF(C92:N92,G2,C109:N109))),4)</f>
        <v>2.2717999999999998</v>
      </c>
      <c r="D23" s="1530"/>
      <c r="E23" s="1530"/>
      <c r="F23" s="1531"/>
      <c r="G23" s="1532"/>
      <c r="H23" s="1533"/>
      <c r="I23" s="1534"/>
      <c r="J23" s="1534"/>
      <c r="K23" s="1401"/>
      <c r="L23" s="1401"/>
      <c r="M23" s="1401"/>
      <c r="N23" s="1478" t="s">
        <v>923</v>
      </c>
      <c r="O23" s="1542"/>
      <c r="P23" s="2770">
        <f>SUMPRODUCT((地价!A3:A24=YEAR(G19)&amp;"-"&amp;ROUNDUP(MONTH(G19)/3,0))*(地价!AD2:AH2=N23)*(地价!AD3:AH24))</f>
        <v>2.41E-2</v>
      </c>
      <c r="R23" s="2926"/>
      <c r="S23" s="2926"/>
      <c r="T23" s="2926"/>
      <c r="U23" s="2926"/>
      <c r="V23" s="2926"/>
      <c r="W23" s="2196"/>
      <c r="X23" s="2196"/>
      <c r="Y23" s="2196"/>
      <c r="Z23" s="2196"/>
      <c r="AA23" s="2196"/>
      <c r="AB23" s="2196"/>
      <c r="AC23" s="2196"/>
      <c r="AN23" s="1404"/>
    </row>
    <row r="24" spans="1:40" s="1421" customFormat="1" ht="15.75" thickBot="1">
      <c r="A24" s="1641" t="s">
        <v>1872</v>
      </c>
      <c r="B24" s="1415" t="s">
        <v>981</v>
      </c>
      <c r="C24" s="1062">
        <f>SUMIF(A44:A87,E2,B44:B87)</f>
        <v>1.0506</v>
      </c>
      <c r="D24" s="1535"/>
      <c r="E24" s="1536"/>
      <c r="F24" s="1536"/>
      <c r="G24" s="1536"/>
      <c r="H24" s="1536"/>
      <c r="I24" s="1536"/>
      <c r="J24" s="1536"/>
      <c r="K24" s="1481"/>
      <c r="L24" s="1481"/>
      <c r="M24" s="1481"/>
      <c r="N24" s="1484" t="s">
        <v>982</v>
      </c>
      <c r="O24" s="1543"/>
      <c r="P24" s="1541">
        <f>SUMPRODUCT((地价!A3:A24=YEAR(G19)&amp;"-"&amp;ROUNDUP(MONTH(G19)/3,0))*(地价!AD2:AH2=N24)*(地价!AD3:AH24))</f>
        <v>1.4200000000000001E-2</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1873</v>
      </c>
      <c r="B25" s="1486" t="s">
        <v>983</v>
      </c>
      <c r="C25" s="1487"/>
      <c r="D25" s="1430"/>
      <c r="E25" s="1430"/>
      <c r="F25" s="1488"/>
      <c r="G25" s="1430"/>
      <c r="H25" s="1430"/>
      <c r="I25" s="1430"/>
      <c r="J25" s="1431"/>
      <c r="K25" s="1401"/>
      <c r="L25" s="2196"/>
      <c r="M25" s="2196"/>
      <c r="N25" s="2798" t="s">
        <v>2647</v>
      </c>
      <c r="O25" s="2196"/>
      <c r="P25" s="1541">
        <f>SUMPRODUCT((地价!A3:A24=YEAR(G19)&amp;"-"&amp;ROUNDUP(MONTH(G19)/3,0))*(地价!AD2:AH2=N25)*(地价!AD3:AH24))</f>
        <v>2.1899999999999999E-2</v>
      </c>
      <c r="R25" s="2926"/>
      <c r="S25" s="2926"/>
      <c r="T25" s="2926"/>
      <c r="U25" s="2926"/>
      <c r="V25" s="2926"/>
      <c r="W25" s="2196"/>
      <c r="X25" s="2196"/>
      <c r="Y25" s="2196"/>
      <c r="Z25" s="2196"/>
      <c r="AA25" s="2196"/>
      <c r="AB25" s="2196"/>
      <c r="AC25" s="2196"/>
    </row>
    <row r="26" spans="1:40" ht="14.25">
      <c r="A26" s="1489"/>
      <c r="B26" s="1483" t="s">
        <v>987</v>
      </c>
      <c r="C26" s="1063">
        <f ca="1">E29+SUM(E33:E39)</f>
        <v>24015</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989</v>
      </c>
      <c r="C27" s="1064">
        <f ca="1">E30+SUM(I33:I39)</f>
        <v>6005</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994</v>
      </c>
      <c r="C29" s="1063">
        <f ca="1">ROUND(C5*C18*C19*C20*C21*C24,0)</f>
        <v>55554</v>
      </c>
      <c r="D29" s="1504"/>
      <c r="E29" s="1850">
        <f ca="1">ROUND(C29*D29/10000,0)</f>
        <v>0</v>
      </c>
      <c r="F29" s="1505" t="s">
        <v>1701</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995</v>
      </c>
      <c r="C30" s="1051">
        <f ca="1">ROUND(IF(E2="工业",C29*M39,C29*M38),0)</f>
        <v>13889</v>
      </c>
      <c r="D30" s="1510"/>
      <c r="E30" s="1850">
        <f ca="1">ROUND(C30*D30/10000,0)</f>
        <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388" t="s">
        <v>2955</v>
      </c>
      <c r="B33" s="1524" t="s">
        <v>1000</v>
      </c>
      <c r="C33" s="1063">
        <f ca="1">ROUND(D5*C19*C20*C24*F33,0)</f>
        <v>15561</v>
      </c>
      <c r="D33" s="1537">
        <f>'数据-汇总表'!G22+'数据-汇总表'!G24</f>
        <v>10064</v>
      </c>
      <c r="E33" s="1048">
        <f ca="1">ROUND(C33*D33/10000,0)</f>
        <v>15661</v>
      </c>
      <c r="F33" s="1048">
        <f>SUMIF(修正!A45:A56,G2,修正!B45:B56)</f>
        <v>0.7</v>
      </c>
      <c r="G33" s="1048">
        <f t="shared" ref="G33" ca="1" si="6">ROUND(IF(E2="工业",C33*$M$39,C33*$M$38),0)</f>
        <v>3890</v>
      </c>
      <c r="H33" s="1048">
        <f>D33</f>
        <v>10064</v>
      </c>
      <c r="I33" s="1048">
        <f ca="1">ROUND(G33*H33/10000,0)</f>
        <v>3915</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389"/>
      <c r="B34" s="1445" t="s">
        <v>1001</v>
      </c>
      <c r="C34" s="1063">
        <f ca="1">ROUND(D5*C19*C20*C24*F34,0)</f>
        <v>8892</v>
      </c>
      <c r="D34" s="1537"/>
      <c r="E34" s="1048">
        <f t="shared" ref="E34:E39" ca="1" si="7">ROUND(C34*D34/10000,0)</f>
        <v>0</v>
      </c>
      <c r="F34" s="1048">
        <f>SUMIF(修正!A45:A56,G2,修正!C45:C56)</f>
        <v>0.4</v>
      </c>
      <c r="G34" s="1048">
        <f ca="1">ROUND(IF(E2="工业",C34*$M$39,C34*$M$38),0)</f>
        <v>2223</v>
      </c>
      <c r="H34" s="1048">
        <f t="shared" ref="H34:H39" si="8">D34</f>
        <v>0</v>
      </c>
      <c r="I34" s="1048">
        <f t="shared" ref="I34:I39" ca="1" si="9">ROUND(G34*H34/10000,0)</f>
        <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389"/>
      <c r="B35" s="1445" t="s">
        <v>1002</v>
      </c>
      <c r="C35" s="1063">
        <f ca="1">ROUND(D5*C19*C20*C24*F35,0)</f>
        <v>6225</v>
      </c>
      <c r="D35" s="1537"/>
      <c r="E35" s="1048">
        <f t="shared" ca="1" si="7"/>
        <v>0</v>
      </c>
      <c r="F35" s="1048">
        <f>SUMIF(修正!A45:A56,G2,修正!D45:D56)</f>
        <v>0.28000000000000003</v>
      </c>
      <c r="G35" s="1048">
        <f ca="1">ROUND(IF(E2="工业",C35*$M$39,C35*$M$38),0)</f>
        <v>1556</v>
      </c>
      <c r="H35" s="1048">
        <f t="shared" si="8"/>
        <v>0</v>
      </c>
      <c r="I35" s="1048">
        <f t="shared" ca="1" si="9"/>
        <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390"/>
      <c r="B36" s="1445" t="s">
        <v>1003</v>
      </c>
      <c r="C36" s="1063">
        <f ca="1">ROUND(D5*C19*C20*C24*F36,0)</f>
        <v>5558</v>
      </c>
      <c r="D36" s="1537"/>
      <c r="E36" s="1048">
        <f t="shared" ca="1" si="7"/>
        <v>0</v>
      </c>
      <c r="F36" s="1048">
        <f>SUMIF(修正!A45:A56,G2,修正!E45:E56)</f>
        <v>0.25</v>
      </c>
      <c r="G36" s="1048">
        <f ca="1">ROUND(IF(E2="工业",C36*$M$39,C36*$M$38),0)</f>
        <v>1390</v>
      </c>
      <c r="H36" s="1048">
        <f t="shared" si="8"/>
        <v>0</v>
      </c>
      <c r="I36" s="1048">
        <f t="shared" ca="1" si="9"/>
        <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8">
        <f ca="1">ROUND(C5*C19*C20*C24*F37,0)</f>
        <v>5558</v>
      </c>
      <c r="D37" s="1537"/>
      <c r="E37" s="1048">
        <f t="shared" ca="1" si="7"/>
        <v>0</v>
      </c>
      <c r="F37" s="1063">
        <f>SUMIF(修正!A45:A56,G2,修正!F45:F56)</f>
        <v>0.25</v>
      </c>
      <c r="G37" s="1048">
        <f ca="1">ROUND(IF(E2="工业",C37*$M$39,C37*$M$38),0)</f>
        <v>1390</v>
      </c>
      <c r="H37" s="1048">
        <f t="shared" si="8"/>
        <v>0</v>
      </c>
      <c r="I37" s="1048">
        <f t="shared" ca="1" si="9"/>
        <v>0</v>
      </c>
      <c r="J37" s="1525"/>
      <c r="K37" s="1401"/>
      <c r="L37" s="1544" t="s">
        <v>1703</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8">
        <f ca="1">ROUND(C5*C19*C20*C24*F38,0)</f>
        <v>5558</v>
      </c>
      <c r="D38" s="1537"/>
      <c r="E38" s="1048">
        <f t="shared" ca="1" si="7"/>
        <v>0</v>
      </c>
      <c r="F38" s="1063">
        <f>SUMIF(修正!A45:A56,G2,修正!G45:G56)</f>
        <v>0.25</v>
      </c>
      <c r="G38" s="1048">
        <f ca="1">ROUND(IF(E2="工业",C38*$M$39,C38*$M$38),0)</f>
        <v>1390</v>
      </c>
      <c r="H38" s="1048">
        <f t="shared" si="8"/>
        <v>0</v>
      </c>
      <c r="I38" s="1048">
        <f t="shared" ca="1" si="9"/>
        <v>0</v>
      </c>
      <c r="J38" s="1525"/>
      <c r="K38" s="1401"/>
      <c r="L38" s="1546" t="s">
        <v>1705</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1">
        <f ca="1">ROUND(C5*C19*C20*C24*F39,0)</f>
        <v>4446</v>
      </c>
      <c r="D39" s="1538">
        <f>'数据-汇总表'!G23</f>
        <v>18791</v>
      </c>
      <c r="E39" s="1051">
        <f t="shared" ca="1" si="7"/>
        <v>8354</v>
      </c>
      <c r="F39" s="1065">
        <f>SUMIF(修正!A45:A56,G2,修正!H45:H56)</f>
        <v>0.2</v>
      </c>
      <c r="G39" s="1051">
        <f ca="1">ROUND(IF(E2="工业",C39*$M$39,C39*$M$38),0)</f>
        <v>1112</v>
      </c>
      <c r="H39" s="1051">
        <f t="shared" si="8"/>
        <v>18791</v>
      </c>
      <c r="I39" s="1051">
        <f t="shared" ca="1" si="9"/>
        <v>2090</v>
      </c>
      <c r="J39" s="1527"/>
      <c r="K39" s="1401"/>
      <c r="L39" s="1548" t="s">
        <v>1704</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6"/>
      <c r="H44" s="2424"/>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25" t="s">
        <v>1008</v>
      </c>
      <c r="B45" s="2426">
        <f>1+E47</f>
        <v>1.0506</v>
      </c>
      <c r="C45" s="2427"/>
      <c r="D45" s="2428"/>
      <c r="E45" s="2429"/>
      <c r="F45" s="2430"/>
      <c r="G45" s="2424"/>
      <c r="H45" s="2424"/>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1009</v>
      </c>
      <c r="B46" s="2409" t="s">
        <v>1010</v>
      </c>
      <c r="C46" s="2431" t="s">
        <v>1011</v>
      </c>
      <c r="D46" s="2432" t="s">
        <v>1012</v>
      </c>
      <c r="E46" s="2433" t="s">
        <v>1014</v>
      </c>
      <c r="F46" s="2434" t="s">
        <v>2251</v>
      </c>
      <c r="G46" s="2432" t="s">
        <v>1015</v>
      </c>
      <c r="H46" s="2415" t="s">
        <v>2418</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24">
      <c r="A47" s="1067" t="s">
        <v>1021</v>
      </c>
      <c r="B47" s="2412" t="str">
        <f>估价对象房地状况!C16</f>
        <v>较好</v>
      </c>
      <c r="C47" s="1050" t="s">
        <v>3394</v>
      </c>
      <c r="D47" s="2418">
        <f t="shared" ref="D47:D55" si="10">SUMIF($J$46:$N$46,C47,J47:N47)</f>
        <v>1.6E-2</v>
      </c>
      <c r="E47" s="2437">
        <f>ROUND(SUM(D47:D55),4)</f>
        <v>5.0599999999999999E-2</v>
      </c>
      <c r="F47" s="2438">
        <f>IF(E2="商业",SUMIF(L1:L12,G2,N1:N12),"——")</f>
        <v>9.7000000000000003E-2</v>
      </c>
      <c r="G47" s="2416">
        <v>1.6E-2</v>
      </c>
      <c r="H47" s="2462">
        <f t="shared" ref="G47:H55" si="11">IFERROR(ROUNDDOWN(($F$47*I47/2),4),"——")</f>
        <v>1.6E-2</v>
      </c>
      <c r="I47" s="2436">
        <v>0.33</v>
      </c>
      <c r="J47" s="2439">
        <f t="shared" ref="J47:J55" si="12">K47+$G47</f>
        <v>3.2000000000000001E-2</v>
      </c>
      <c r="K47" s="2439">
        <f t="shared" ref="K47:K55" si="13">$L47+$G47</f>
        <v>1.6E-2</v>
      </c>
      <c r="L47" s="2439">
        <v>0</v>
      </c>
      <c r="M47" s="2439">
        <f t="shared" ref="M47:N55" si="14">L47-$G47</f>
        <v>-1.6E-2</v>
      </c>
      <c r="N47" s="2439">
        <f t="shared" si="14"/>
        <v>-3.2000000000000001E-2</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14.25">
      <c r="A48" s="1067" t="s">
        <v>1022</v>
      </c>
      <c r="B48" s="2409" t="str">
        <f>估价对象房地状况!C18</f>
        <v>较好</v>
      </c>
      <c r="C48" s="1050" t="s">
        <v>3394</v>
      </c>
      <c r="D48" s="2418">
        <f t="shared" si="10"/>
        <v>1.21E-2</v>
      </c>
      <c r="E48" s="2440"/>
      <c r="F48" s="2438"/>
      <c r="G48" s="2416">
        <v>1.21E-2</v>
      </c>
      <c r="H48" s="2462">
        <f t="shared" si="11"/>
        <v>1.21E-2</v>
      </c>
      <c r="I48" s="2436">
        <v>0.25</v>
      </c>
      <c r="J48" s="2439">
        <f t="shared" si="12"/>
        <v>2.4199999999999999E-2</v>
      </c>
      <c r="K48" s="2439">
        <f t="shared" si="13"/>
        <v>1.21E-2</v>
      </c>
      <c r="L48" s="2439">
        <v>0</v>
      </c>
      <c r="M48" s="2439">
        <f t="shared" si="14"/>
        <v>-1.21E-2</v>
      </c>
      <c r="N48" s="2439">
        <f t="shared" si="14"/>
        <v>-2.4199999999999999E-2</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1023</v>
      </c>
      <c r="B49" s="2409" t="str">
        <f>估价对象房地状况!C19</f>
        <v>较好</v>
      </c>
      <c r="C49" s="1050" t="s">
        <v>3395</v>
      </c>
      <c r="D49" s="2418">
        <f t="shared" si="10"/>
        <v>0</v>
      </c>
      <c r="E49" s="2440"/>
      <c r="F49" s="2438"/>
      <c r="G49" s="2416">
        <v>2.3999999999999998E-3</v>
      </c>
      <c r="H49" s="2462">
        <f t="shared" si="11"/>
        <v>2.3999999999999998E-3</v>
      </c>
      <c r="I49" s="2436">
        <v>0.05</v>
      </c>
      <c r="J49" s="2439">
        <f t="shared" si="12"/>
        <v>4.7999999999999996E-3</v>
      </c>
      <c r="K49" s="2439">
        <f t="shared" si="13"/>
        <v>2.3999999999999998E-3</v>
      </c>
      <c r="L49" s="2439">
        <v>0</v>
      </c>
      <c r="M49" s="2439">
        <f t="shared" si="14"/>
        <v>-2.3999999999999998E-3</v>
      </c>
      <c r="N49" s="2439">
        <f t="shared" si="14"/>
        <v>-4.7999999999999996E-3</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1024</v>
      </c>
      <c r="B50" s="3099" t="s">
        <v>2931</v>
      </c>
      <c r="C50" s="1050" t="s">
        <v>3394</v>
      </c>
      <c r="D50" s="2418">
        <f t="shared" si="10"/>
        <v>2.3999999999999998E-3</v>
      </c>
      <c r="E50" s="2440"/>
      <c r="F50" s="2438"/>
      <c r="G50" s="2416">
        <v>2.3999999999999998E-3</v>
      </c>
      <c r="H50" s="2462">
        <f t="shared" si="11"/>
        <v>2.3999999999999998E-3</v>
      </c>
      <c r="I50" s="2436">
        <v>0.05</v>
      </c>
      <c r="J50" s="2439">
        <f t="shared" si="12"/>
        <v>4.7999999999999996E-3</v>
      </c>
      <c r="K50" s="2439">
        <f t="shared" si="13"/>
        <v>2.3999999999999998E-3</v>
      </c>
      <c r="L50" s="2439">
        <v>0</v>
      </c>
      <c r="M50" s="2439">
        <f t="shared" si="14"/>
        <v>-2.3999999999999998E-3</v>
      </c>
      <c r="N50" s="2439">
        <f t="shared" si="14"/>
        <v>-4.7999999999999996E-3</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1025</v>
      </c>
      <c r="B51" s="2409">
        <f>估价对象房地状况!C24</f>
        <v>0</v>
      </c>
      <c r="C51" s="1050" t="s">
        <v>3394</v>
      </c>
      <c r="D51" s="2418">
        <f t="shared" si="10"/>
        <v>3.8E-3</v>
      </c>
      <c r="E51" s="2440"/>
      <c r="F51" s="2438"/>
      <c r="G51" s="2416">
        <v>3.8E-3</v>
      </c>
      <c r="H51" s="2462">
        <f t="shared" si="11"/>
        <v>3.8E-3</v>
      </c>
      <c r="I51" s="2436">
        <v>0.08</v>
      </c>
      <c r="J51" s="2439">
        <f t="shared" si="12"/>
        <v>7.6E-3</v>
      </c>
      <c r="K51" s="2439">
        <f t="shared" si="13"/>
        <v>3.8E-3</v>
      </c>
      <c r="L51" s="2439">
        <v>0</v>
      </c>
      <c r="M51" s="2439">
        <f t="shared" si="14"/>
        <v>-3.8E-3</v>
      </c>
      <c r="N51" s="2439">
        <f t="shared" si="14"/>
        <v>-7.6E-3</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1026</v>
      </c>
      <c r="B52" s="3098" t="s">
        <v>2930</v>
      </c>
      <c r="C52" s="1050" t="s">
        <v>3394</v>
      </c>
      <c r="D52" s="2418">
        <f t="shared" si="10"/>
        <v>1.4E-3</v>
      </c>
      <c r="E52" s="2440"/>
      <c r="F52" s="2438"/>
      <c r="G52" s="2416">
        <v>1.4E-3</v>
      </c>
      <c r="H52" s="2462">
        <f t="shared" si="11"/>
        <v>1.4E-3</v>
      </c>
      <c r="I52" s="2436">
        <v>0.03</v>
      </c>
      <c r="J52" s="2439">
        <f t="shared" si="12"/>
        <v>2.8E-3</v>
      </c>
      <c r="K52" s="2439">
        <f t="shared" si="13"/>
        <v>1.4E-3</v>
      </c>
      <c r="L52" s="2439">
        <v>0</v>
      </c>
      <c r="M52" s="2439">
        <f t="shared" si="14"/>
        <v>-1.4E-3</v>
      </c>
      <c r="N52" s="2439">
        <f t="shared" si="14"/>
        <v>-2.8E-3</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41" t="s">
        <v>1027</v>
      </c>
      <c r="B53" s="2410" t="str">
        <f>估价对象房地状况!C21</f>
        <v>较好</v>
      </c>
      <c r="C53" s="1050" t="s">
        <v>3394</v>
      </c>
      <c r="D53" s="2418">
        <f t="shared" si="10"/>
        <v>2.3999999999999998E-3</v>
      </c>
      <c r="E53" s="2440"/>
      <c r="F53" s="2438"/>
      <c r="G53" s="2416">
        <v>2.3999999999999998E-3</v>
      </c>
      <c r="H53" s="2462">
        <f t="shared" si="11"/>
        <v>2.3999999999999998E-3</v>
      </c>
      <c r="I53" s="2436">
        <v>0.05</v>
      </c>
      <c r="J53" s="2439">
        <f t="shared" si="12"/>
        <v>4.7999999999999996E-3</v>
      </c>
      <c r="K53" s="2439">
        <f t="shared" si="13"/>
        <v>2.3999999999999998E-3</v>
      </c>
      <c r="L53" s="2439">
        <v>0</v>
      </c>
      <c r="M53" s="2439">
        <f t="shared" si="14"/>
        <v>-2.3999999999999998E-3</v>
      </c>
      <c r="N53" s="2439">
        <f t="shared" si="14"/>
        <v>-4.7999999999999996E-3</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41" t="s">
        <v>1028</v>
      </c>
      <c r="B54" s="2409" t="str">
        <f>估价对象房地状况!C22</f>
        <v>七通</v>
      </c>
      <c r="C54" s="1050" t="s">
        <v>3393</v>
      </c>
      <c r="D54" s="2418">
        <f t="shared" si="10"/>
        <v>9.5999999999999992E-3</v>
      </c>
      <c r="E54" s="2440"/>
      <c r="F54" s="2438"/>
      <c r="G54" s="2416">
        <v>4.7999999999999996E-3</v>
      </c>
      <c r="H54" s="2462">
        <f t="shared" si="11"/>
        <v>4.7999999999999996E-3</v>
      </c>
      <c r="I54" s="2436">
        <v>0.1</v>
      </c>
      <c r="J54" s="2439">
        <f t="shared" si="12"/>
        <v>9.5999999999999992E-3</v>
      </c>
      <c r="K54" s="2439">
        <f t="shared" si="13"/>
        <v>4.7999999999999996E-3</v>
      </c>
      <c r="L54" s="2439">
        <v>0</v>
      </c>
      <c r="M54" s="2439">
        <f t="shared" si="14"/>
        <v>-4.7999999999999996E-3</v>
      </c>
      <c r="N54" s="2439">
        <f t="shared" si="14"/>
        <v>-9.5999999999999992E-3</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24.75" thickBot="1">
      <c r="A55" s="2442" t="s">
        <v>1029</v>
      </c>
      <c r="B55" s="2413" t="str">
        <f>估价对象房地状况!C20</f>
        <v>较好</v>
      </c>
      <c r="C55" s="1050" t="s">
        <v>3394</v>
      </c>
      <c r="D55" s="2418">
        <f t="shared" si="10"/>
        <v>2.8999999999999998E-3</v>
      </c>
      <c r="E55" s="2444"/>
      <c r="F55" s="2438"/>
      <c r="G55" s="2416">
        <v>2.8999999999999998E-3</v>
      </c>
      <c r="H55" s="2462">
        <f t="shared" si="11"/>
        <v>2.8999999999999998E-3</v>
      </c>
      <c r="I55" s="2443">
        <v>0.06</v>
      </c>
      <c r="J55" s="2439">
        <f t="shared" si="12"/>
        <v>5.7999999999999996E-3</v>
      </c>
      <c r="K55" s="2439">
        <f t="shared" si="13"/>
        <v>2.8999999999999998E-3</v>
      </c>
      <c r="L55" s="2439">
        <v>0</v>
      </c>
      <c r="M55" s="2439">
        <f t="shared" si="14"/>
        <v>-2.8999999999999998E-3</v>
      </c>
      <c r="N55" s="2439">
        <f t="shared" si="14"/>
        <v>-5.7999999999999996E-3</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25" t="s">
        <v>1030</v>
      </c>
      <c r="B56" s="2426">
        <f>1+E58</f>
        <v>1</v>
      </c>
      <c r="C56" s="2445"/>
      <c r="D56" s="2428"/>
      <c r="E56" s="2429"/>
      <c r="F56" s="2430"/>
      <c r="G56" s="2424"/>
      <c r="H56" s="2424"/>
      <c r="I56" s="2424"/>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1009</v>
      </c>
      <c r="B57" s="2409"/>
      <c r="C57" s="2431" t="s">
        <v>1011</v>
      </c>
      <c r="D57" s="2432" t="s">
        <v>1012</v>
      </c>
      <c r="E57" s="2433" t="s">
        <v>1014</v>
      </c>
      <c r="F57" s="2434" t="s">
        <v>2252</v>
      </c>
      <c r="G57" s="2432" t="s">
        <v>1015</v>
      </c>
      <c r="H57" s="2415" t="s">
        <v>2418</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24">
      <c r="A58" s="1067" t="s">
        <v>1031</v>
      </c>
      <c r="B58" s="2412">
        <f>估价对象房地状况!C17</f>
        <v>0</v>
      </c>
      <c r="C58" s="1050"/>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14.25">
      <c r="A59" s="1067" t="s">
        <v>1022</v>
      </c>
      <c r="B59" s="2409" t="str">
        <f>估价对象房地状况!C18</f>
        <v>较好</v>
      </c>
      <c r="C59" s="1050"/>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1023</v>
      </c>
      <c r="B60" s="2409" t="str">
        <f>估价对象房地状况!C19</f>
        <v>较好</v>
      </c>
      <c r="C60" s="1050"/>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1024</v>
      </c>
      <c r="B61" s="3099" t="s">
        <v>2932</v>
      </c>
      <c r="C61" s="1050"/>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1025</v>
      </c>
      <c r="B62" s="2409">
        <f>估价对象房地状况!C24</f>
        <v>0</v>
      </c>
      <c r="C62" s="1050"/>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1026</v>
      </c>
      <c r="B63" s="3098" t="s">
        <v>2930</v>
      </c>
      <c r="C63" s="1050"/>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1027</v>
      </c>
      <c r="B64" s="2410" t="str">
        <f>估价对象房地状况!C21</f>
        <v>较好</v>
      </c>
      <c r="C64" s="1050"/>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1028</v>
      </c>
      <c r="B65" s="2410" t="str">
        <f>估价对象房地状况!C22</f>
        <v>七通</v>
      </c>
      <c r="C65" s="1050"/>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24.75" thickBot="1">
      <c r="A66" s="2442" t="s">
        <v>1029</v>
      </c>
      <c r="B66" s="2414" t="str">
        <f>估价对象房地状况!C20</f>
        <v>较好</v>
      </c>
      <c r="C66" s="1050"/>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1032</v>
      </c>
      <c r="B67" s="2426">
        <f>1+E69</f>
        <v>1</v>
      </c>
      <c r="C67" s="2445"/>
      <c r="D67" s="2428"/>
      <c r="E67" s="2429"/>
      <c r="F67" s="2430"/>
      <c r="G67" s="2424"/>
      <c r="H67" s="2424"/>
      <c r="I67" s="2424"/>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1009</v>
      </c>
      <c r="B68" s="2409"/>
      <c r="C68" s="2431" t="s">
        <v>1011</v>
      </c>
      <c r="D68" s="2432" t="s">
        <v>1012</v>
      </c>
      <c r="E68" s="2433" t="s">
        <v>1014</v>
      </c>
      <c r="F68" s="2434" t="s">
        <v>2253</v>
      </c>
      <c r="G68" s="2432" t="s">
        <v>1015</v>
      </c>
      <c r="H68" s="2415" t="s">
        <v>2418</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24">
      <c r="A69" s="1067" t="s">
        <v>1033</v>
      </c>
      <c r="B69" s="2412">
        <f>估价对象房地状况!C15</f>
        <v>0</v>
      </c>
      <c r="C69" s="1159"/>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14.25">
      <c r="A70" s="1067" t="s">
        <v>1034</v>
      </c>
      <c r="B70" s="2409" t="str">
        <f>估价对象房地状况!C18</f>
        <v>较好</v>
      </c>
      <c r="C70" s="1159"/>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1023</v>
      </c>
      <c r="B71" s="2409" t="str">
        <f>估价对象房地状况!C19</f>
        <v>较好</v>
      </c>
      <c r="C71" s="1159"/>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1035</v>
      </c>
      <c r="B72" s="2409">
        <f>估价对象房地状况!C24</f>
        <v>0</v>
      </c>
      <c r="C72" s="1159"/>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1027</v>
      </c>
      <c r="B73" s="2410" t="str">
        <f>估价对象房地状况!C21</f>
        <v>较好</v>
      </c>
      <c r="C73" s="1159"/>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1028</v>
      </c>
      <c r="B74" s="2410" t="str">
        <f>估价对象房地状况!C22</f>
        <v>七通</v>
      </c>
      <c r="C74" s="1159"/>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1026</v>
      </c>
      <c r="B75" s="3098" t="s">
        <v>2930</v>
      </c>
      <c r="C75" s="1159"/>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24">
      <c r="A76" s="1067" t="s">
        <v>1029</v>
      </c>
      <c r="B76" s="2412" t="str">
        <f>估价对象房地状况!C20</f>
        <v>较好</v>
      </c>
      <c r="C76" s="1159"/>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1036</v>
      </c>
      <c r="B77" s="1851"/>
      <c r="C77" s="1159"/>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c r="A78" s="2425" t="s">
        <v>1037</v>
      </c>
      <c r="B78" s="2426">
        <f>1+E80</f>
        <v>1</v>
      </c>
      <c r="C78" s="2445"/>
      <c r="D78" s="2428"/>
      <c r="E78" s="2429"/>
      <c r="F78" s="2430"/>
      <c r="G78" s="2424"/>
      <c r="H78" s="2424"/>
      <c r="I78" s="2424"/>
      <c r="J78" s="1066"/>
      <c r="K78" s="1066"/>
      <c r="L78" s="1066"/>
      <c r="M78" s="1066"/>
      <c r="N78" s="1066"/>
      <c r="AC78" s="1405"/>
      <c r="AD78" s="1404"/>
      <c r="AJ78" s="1403"/>
      <c r="AN78" s="1404"/>
    </row>
    <row r="79" spans="1:40" ht="24">
      <c r="A79" s="1067" t="s">
        <v>1009</v>
      </c>
      <c r="B79" s="2409"/>
      <c r="C79" s="2431" t="s">
        <v>1011</v>
      </c>
      <c r="D79" s="2432" t="s">
        <v>1012</v>
      </c>
      <c r="E79" s="2433" t="s">
        <v>1014</v>
      </c>
      <c r="F79" s="2434" t="s">
        <v>2254</v>
      </c>
      <c r="G79" s="2432" t="s">
        <v>1015</v>
      </c>
      <c r="H79" s="2415" t="s">
        <v>2418</v>
      </c>
      <c r="I79" s="2432" t="s">
        <v>1013</v>
      </c>
      <c r="J79" s="2435" t="s">
        <v>1016</v>
      </c>
      <c r="K79" s="2435" t="s">
        <v>1017</v>
      </c>
      <c r="L79" s="2435" t="s">
        <v>1018</v>
      </c>
      <c r="M79" s="2435" t="s">
        <v>1019</v>
      </c>
      <c r="N79" s="2435" t="s">
        <v>1020</v>
      </c>
      <c r="AC79" s="1405"/>
      <c r="AD79" s="1404"/>
      <c r="AJ79" s="1403"/>
      <c r="AN79" s="1404"/>
    </row>
    <row r="80" spans="1:40" ht="36">
      <c r="A80" s="1067" t="s">
        <v>1038</v>
      </c>
      <c r="B80" s="2409" t="str">
        <f>估价对象房地状况!G15</f>
        <v>估价对象位于XX开发区，园区建设成熟度XX，产业集聚程度XX</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c r="A81" s="1067" t="s">
        <v>1034</v>
      </c>
      <c r="B81" s="2409" t="str">
        <f>估价对象房地状况!G16</f>
        <v>估价对象周边道路状况、公共交通通达情况、停车便捷程度，综合评价交通便捷度较好</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7" t="s">
        <v>1023</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7" t="s">
        <v>1035</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7" t="s">
        <v>1027</v>
      </c>
      <c r="B84" s="2410" t="str">
        <f>估价对象房地状况!G19</f>
        <v>估价对象所在区域公共配套设施齐备情况</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7" t="s">
        <v>1028</v>
      </c>
      <c r="B85" s="2410" t="str">
        <f>估价对象房地状况!G20</f>
        <v>估价对象所在区域基础设施水平</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7" t="s">
        <v>1026</v>
      </c>
      <c r="B86" s="3098" t="s">
        <v>2930</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thickBot="1">
      <c r="A87" s="2442" t="s">
        <v>1039</v>
      </c>
      <c r="B87" s="2411" t="str">
        <f>估价对象房地状况!G18</f>
        <v>该园区内是否有污染型企业，绿化情况，卫生条件，整体环境状况判断</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386" t="s">
        <v>1634</v>
      </c>
      <c r="B90" s="3386"/>
      <c r="C90" s="3386"/>
      <c r="D90" s="3386"/>
      <c r="E90" s="3386"/>
      <c r="F90" s="3386"/>
      <c r="G90" s="3386"/>
      <c r="H90" s="3386"/>
      <c r="I90" s="3386"/>
      <c r="J90" s="3386"/>
      <c r="K90" s="2451"/>
      <c r="L90" s="2451"/>
      <c r="M90" s="2451"/>
      <c r="N90" s="2451"/>
    </row>
    <row r="91" spans="1:40">
      <c r="A91" s="3387" t="s">
        <v>1444</v>
      </c>
      <c r="B91" s="3387" t="s">
        <v>1635</v>
      </c>
      <c r="C91" s="1140" t="s">
        <v>1636</v>
      </c>
      <c r="D91" s="1141"/>
      <c r="E91" s="1141"/>
      <c r="F91" s="1141"/>
      <c r="G91" s="1141"/>
      <c r="H91" s="1141"/>
      <c r="I91" s="1141"/>
      <c r="J91" s="1142"/>
      <c r="K91" s="1134"/>
      <c r="L91" s="1134"/>
      <c r="M91" s="1134"/>
      <c r="N91" s="1134"/>
    </row>
    <row r="92" spans="1:40">
      <c r="A92" s="3387"/>
      <c r="B92" s="3387"/>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376" t="s">
        <v>2763</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377"/>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377"/>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377"/>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377"/>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377"/>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377"/>
      <c r="B99" s="1143" t="s">
        <v>1637</v>
      </c>
      <c r="C99" s="1145">
        <f>$I$3</f>
        <v>1</v>
      </c>
      <c r="D99" s="1145">
        <f t="shared" ref="D99:N99" si="30">$I$3</f>
        <v>1</v>
      </c>
      <c r="E99" s="1145">
        <f t="shared" si="30"/>
        <v>1</v>
      </c>
      <c r="F99" s="1145">
        <f t="shared" si="30"/>
        <v>1</v>
      </c>
      <c r="G99" s="1145">
        <f t="shared" si="30"/>
        <v>1</v>
      </c>
      <c r="H99" s="1145">
        <f t="shared" si="30"/>
        <v>1</v>
      </c>
      <c r="I99" s="1145">
        <f t="shared" si="30"/>
        <v>1</v>
      </c>
      <c r="J99" s="1145">
        <f t="shared" si="30"/>
        <v>1</v>
      </c>
      <c r="K99" s="1145">
        <f t="shared" si="30"/>
        <v>1</v>
      </c>
      <c r="L99" s="1145">
        <f t="shared" si="30"/>
        <v>1</v>
      </c>
      <c r="M99" s="1145">
        <f t="shared" si="30"/>
        <v>1</v>
      </c>
      <c r="N99" s="1145">
        <f t="shared" si="30"/>
        <v>1</v>
      </c>
    </row>
    <row r="100" spans="1:14">
      <c r="A100" s="3378"/>
      <c r="B100" s="1143">
        <v>7</v>
      </c>
      <c r="C100" s="1146">
        <f>(-0.163*(C99^2)-0.59*C99+7617)*(10^(-4))</f>
        <v>0.76162470000000004</v>
      </c>
      <c r="D100" s="1146">
        <f>(-0.163*(D99^2)-0.59*D99+7617)*(10^(-4))</f>
        <v>0.76162470000000004</v>
      </c>
      <c r="E100" s="1146">
        <f>(-0.161*(E99^2)-7.509*E99+6533)*(10^(-4))</f>
        <v>0.65253300000000003</v>
      </c>
      <c r="F100" s="1146">
        <f>(-0.161*(F99^2)-7.509*F99+6533)*(10^(-4))</f>
        <v>0.65253300000000003</v>
      </c>
      <c r="G100" s="1146">
        <f>(-0.161*(G99^2)-7.509*G99+6533)*(10^(-4))</f>
        <v>0.65253300000000003</v>
      </c>
      <c r="H100" s="1146">
        <f>(-0.161*(H99^2)-7.509*H99+6533)*(10^(-4))</f>
        <v>0.65253300000000003</v>
      </c>
      <c r="I100" s="1146">
        <f>(-0.161*(I99^2)-7.509*I99+6533)*(10^(-4))</f>
        <v>0.65253300000000003</v>
      </c>
      <c r="J100" s="1146">
        <f>(-0.214*(J99^2)-21.991*J99+4665)*(10^(-4))</f>
        <v>0.46427950000000001</v>
      </c>
      <c r="K100" s="1146">
        <f>(-0.214*(K99^2)-21.991*K99+4665)*(10^(-4))</f>
        <v>0.46427950000000001</v>
      </c>
      <c r="L100" s="1146">
        <f>(-0.214*(L99^2)-21.991*L99+4665)*(10^(-4))</f>
        <v>0.46427950000000001</v>
      </c>
      <c r="M100" s="1146">
        <f>(-0.214*(M99^2)-21.991*M99+4665)*(10^(-4))</f>
        <v>0.46427950000000001</v>
      </c>
      <c r="N100" s="1146">
        <f>(-0.214*(N99^2)-21.991*N99+4665)*(10^(-4))</f>
        <v>0.46427950000000001</v>
      </c>
    </row>
    <row r="101" spans="1:14">
      <c r="A101" s="3376" t="s">
        <v>1638</v>
      </c>
      <c r="B101" s="1147" t="s">
        <v>906</v>
      </c>
      <c r="C101" s="1148">
        <f>$G$3</f>
        <v>0.82</v>
      </c>
      <c r="D101" s="1148">
        <f t="shared" ref="D101:N101" si="31">$G$3</f>
        <v>0.82</v>
      </c>
      <c r="E101" s="1148">
        <f t="shared" si="31"/>
        <v>0.82</v>
      </c>
      <c r="F101" s="1148">
        <f t="shared" si="31"/>
        <v>0.82</v>
      </c>
      <c r="G101" s="1148">
        <f t="shared" si="31"/>
        <v>0.82</v>
      </c>
      <c r="H101" s="1148">
        <f t="shared" si="31"/>
        <v>0.82</v>
      </c>
      <c r="I101" s="1148">
        <f t="shared" si="31"/>
        <v>0.82</v>
      </c>
      <c r="J101" s="1148">
        <f t="shared" si="31"/>
        <v>0.82</v>
      </c>
      <c r="K101" s="1148">
        <f t="shared" si="31"/>
        <v>0.82</v>
      </c>
      <c r="L101" s="1148">
        <f t="shared" si="31"/>
        <v>0.82</v>
      </c>
      <c r="M101" s="1148">
        <f t="shared" si="31"/>
        <v>0.82</v>
      </c>
      <c r="N101" s="1148">
        <f t="shared" si="31"/>
        <v>0.82</v>
      </c>
    </row>
    <row r="102" spans="1:14">
      <c r="A102" s="3377"/>
      <c r="B102" s="1143">
        <v>1</v>
      </c>
      <c r="C102" s="1144">
        <f>1.9362/C101</f>
        <v>2.3612195121951221</v>
      </c>
      <c r="D102" s="1144">
        <f>1.9362/D101</f>
        <v>2.3612195121951221</v>
      </c>
      <c r="E102" s="1144">
        <f>1.8629/E101</f>
        <v>2.2718292682926831</v>
      </c>
      <c r="F102" s="1144">
        <f>1.8629/F101</f>
        <v>2.2718292682926831</v>
      </c>
      <c r="G102" s="1144">
        <f>1.8629/G101</f>
        <v>2.2718292682926831</v>
      </c>
      <c r="H102" s="1144">
        <f>1.8629/H101</f>
        <v>2.2718292682926831</v>
      </c>
      <c r="I102" s="1144">
        <f>1.8629/I101</f>
        <v>2.2718292682926831</v>
      </c>
      <c r="J102" s="1144">
        <f>1.942/J101</f>
        <v>2.3682926829268292</v>
      </c>
      <c r="K102" s="1144">
        <f>1.942/K101</f>
        <v>2.3682926829268292</v>
      </c>
      <c r="L102" s="1144">
        <f>1.942/L101</f>
        <v>2.3682926829268292</v>
      </c>
      <c r="M102" s="1144">
        <f>1.942/M101</f>
        <v>2.3682926829268292</v>
      </c>
      <c r="N102" s="1144">
        <f>1.942/N101</f>
        <v>2.3682926829268292</v>
      </c>
    </row>
    <row r="103" spans="1:14">
      <c r="A103" s="3377"/>
      <c r="B103" s="1143">
        <v>2</v>
      </c>
      <c r="C103" s="1144">
        <f>1.4198/C101</f>
        <v>1.7314634146341463</v>
      </c>
      <c r="D103" s="1144">
        <f>1.4198/D101</f>
        <v>1.7314634146341463</v>
      </c>
      <c r="E103" s="1144">
        <f>1.3372/E101</f>
        <v>1.6307317073170733</v>
      </c>
      <c r="F103" s="1144">
        <f>1.3372/F101</f>
        <v>1.6307317073170733</v>
      </c>
      <c r="G103" s="1144">
        <f>1.3372/G101</f>
        <v>1.6307317073170733</v>
      </c>
      <c r="H103" s="1144">
        <f>1.3372/H101</f>
        <v>1.6307317073170733</v>
      </c>
      <c r="I103" s="1144">
        <f>1.3372/I101</f>
        <v>1.6307317073170733</v>
      </c>
      <c r="J103" s="1144">
        <f>1.2799/J101</f>
        <v>1.5608536585365855</v>
      </c>
      <c r="K103" s="1144">
        <f>1.2799/K101</f>
        <v>1.5608536585365855</v>
      </c>
      <c r="L103" s="1144">
        <f>1.2799/L101</f>
        <v>1.5608536585365855</v>
      </c>
      <c r="M103" s="1144">
        <f>1.2799/M101</f>
        <v>1.5608536585365855</v>
      </c>
      <c r="N103" s="1144">
        <f>1.2799/N101</f>
        <v>1.5608536585365855</v>
      </c>
    </row>
    <row r="104" spans="1:14">
      <c r="A104" s="3377"/>
      <c r="B104" s="1143">
        <v>3</v>
      </c>
      <c r="C104" s="1144">
        <f>1.1594/C101</f>
        <v>1.4139024390243904</v>
      </c>
      <c r="D104" s="1144">
        <f>1.1594/D101</f>
        <v>1.4139024390243904</v>
      </c>
      <c r="E104" s="1144">
        <f>1.0788/E101</f>
        <v>1.315609756097561</v>
      </c>
      <c r="F104" s="1144">
        <f>1.0788/F101</f>
        <v>1.315609756097561</v>
      </c>
      <c r="G104" s="1144">
        <f>1.0788/G101</f>
        <v>1.315609756097561</v>
      </c>
      <c r="H104" s="1144">
        <f>1.0788/H101</f>
        <v>1.315609756097561</v>
      </c>
      <c r="I104" s="1144">
        <f>1.0788/I101</f>
        <v>1.315609756097561</v>
      </c>
      <c r="J104" s="1144">
        <f>1.0072/J101</f>
        <v>1.2282926829268295</v>
      </c>
      <c r="K104" s="1144">
        <f>1.0072/K101</f>
        <v>1.2282926829268295</v>
      </c>
      <c r="L104" s="1144">
        <f>1.0072/L101</f>
        <v>1.2282926829268295</v>
      </c>
      <c r="M104" s="1144">
        <f>1.0072/M101</f>
        <v>1.2282926829268295</v>
      </c>
      <c r="N104" s="1144">
        <f>1.0072/N101</f>
        <v>1.2282926829268295</v>
      </c>
    </row>
    <row r="105" spans="1:14">
      <c r="A105" s="3377"/>
      <c r="B105" s="1143">
        <v>4</v>
      </c>
      <c r="C105" s="1144">
        <f>0.9622/C101</f>
        <v>1.1734146341463416</v>
      </c>
      <c r="D105" s="1144">
        <f>0.9622/D101</f>
        <v>1.1734146341463416</v>
      </c>
      <c r="E105" s="1144">
        <f>0.8656/E101</f>
        <v>1.055609756097561</v>
      </c>
      <c r="F105" s="1144">
        <f>0.8656/F101</f>
        <v>1.055609756097561</v>
      </c>
      <c r="G105" s="1144">
        <f>0.8656/G101</f>
        <v>1.055609756097561</v>
      </c>
      <c r="H105" s="1144">
        <f>0.8656/H101</f>
        <v>1.055609756097561</v>
      </c>
      <c r="I105" s="1144">
        <f>0.8656/I101</f>
        <v>1.055609756097561</v>
      </c>
      <c r="J105" s="1144">
        <f>0.7525/J101</f>
        <v>0.91768292682926833</v>
      </c>
      <c r="K105" s="1144">
        <f>0.7525/K101</f>
        <v>0.91768292682926833</v>
      </c>
      <c r="L105" s="1144">
        <f>0.7525/L101</f>
        <v>0.91768292682926833</v>
      </c>
      <c r="M105" s="1144">
        <f>0.7525/M101</f>
        <v>0.91768292682926833</v>
      </c>
      <c r="N105" s="1144">
        <f>0.7525/N101</f>
        <v>0.91768292682926833</v>
      </c>
    </row>
    <row r="106" spans="1:14">
      <c r="A106" s="3377"/>
      <c r="B106" s="1143">
        <v>5</v>
      </c>
      <c r="C106" s="1144">
        <f>0.8417/C101</f>
        <v>1.0264634146341465</v>
      </c>
      <c r="D106" s="1144">
        <f>0.8417/D101</f>
        <v>1.0264634146341465</v>
      </c>
      <c r="E106" s="1144">
        <f>0.7371/E101</f>
        <v>0.89890243902439027</v>
      </c>
      <c r="F106" s="1144">
        <f>0.7371/F101</f>
        <v>0.89890243902439027</v>
      </c>
      <c r="G106" s="1144">
        <f>0.7371/G101</f>
        <v>0.89890243902439027</v>
      </c>
      <c r="H106" s="1144">
        <f>0.7371/H101</f>
        <v>0.89890243902439027</v>
      </c>
      <c r="I106" s="1144">
        <f>0.7371/I101</f>
        <v>0.89890243902439027</v>
      </c>
      <c r="J106" s="1144">
        <f>0.5659/J101</f>
        <v>0.69012195121951214</v>
      </c>
      <c r="K106" s="1144">
        <f>0.5659/K101</f>
        <v>0.69012195121951214</v>
      </c>
      <c r="L106" s="1144">
        <f>0.5659/L101</f>
        <v>0.69012195121951214</v>
      </c>
      <c r="M106" s="1144">
        <f>0.5659/M101</f>
        <v>0.69012195121951214</v>
      </c>
      <c r="N106" s="1144">
        <f>0.5659/N101</f>
        <v>0.69012195121951214</v>
      </c>
    </row>
    <row r="107" spans="1:14">
      <c r="A107" s="3377"/>
      <c r="B107" s="1143">
        <v>6</v>
      </c>
      <c r="C107" s="1144">
        <f>0.7608/C101</f>
        <v>0.92780487804878053</v>
      </c>
      <c r="D107" s="1144">
        <f>0.7608/D101</f>
        <v>0.92780487804878053</v>
      </c>
      <c r="E107" s="1144">
        <f>0.6482/E101</f>
        <v>0.79048780487804882</v>
      </c>
      <c r="F107" s="1144">
        <f>0.6482/F101</f>
        <v>0.79048780487804882</v>
      </c>
      <c r="G107" s="1144">
        <f>0.6482/G101</f>
        <v>0.79048780487804882</v>
      </c>
      <c r="H107" s="1144">
        <f>0.6482/H101</f>
        <v>0.79048780487804882</v>
      </c>
      <c r="I107" s="1144">
        <f>0.6482/I101</f>
        <v>0.79048780487804882</v>
      </c>
      <c r="J107" s="1144">
        <f>0.4525/J101</f>
        <v>0.55182926829268297</v>
      </c>
      <c r="K107" s="1144">
        <f>0.4525/K101</f>
        <v>0.55182926829268297</v>
      </c>
      <c r="L107" s="1144">
        <f>0.4525/L101</f>
        <v>0.55182926829268297</v>
      </c>
      <c r="M107" s="1144">
        <f>0.4525/M101</f>
        <v>0.55182926829268297</v>
      </c>
      <c r="N107" s="1144">
        <f>0.4525/N101</f>
        <v>0.55182926829268297</v>
      </c>
    </row>
    <row r="108" spans="1:14">
      <c r="A108" s="3377"/>
      <c r="B108" s="3379" t="s">
        <v>1639</v>
      </c>
      <c r="C108" s="1145">
        <f>C99</f>
        <v>1</v>
      </c>
      <c r="D108" s="1145">
        <f t="shared" ref="D108:N108" si="32">D99</f>
        <v>1</v>
      </c>
      <c r="E108" s="1145">
        <f t="shared" si="32"/>
        <v>1</v>
      </c>
      <c r="F108" s="1145">
        <f t="shared" si="32"/>
        <v>1</v>
      </c>
      <c r="G108" s="1145">
        <f t="shared" si="32"/>
        <v>1</v>
      </c>
      <c r="H108" s="1145">
        <f t="shared" si="32"/>
        <v>1</v>
      </c>
      <c r="I108" s="1145">
        <f t="shared" si="32"/>
        <v>1</v>
      </c>
      <c r="J108" s="1145">
        <f t="shared" si="32"/>
        <v>1</v>
      </c>
      <c r="K108" s="1145">
        <f t="shared" si="32"/>
        <v>1</v>
      </c>
      <c r="L108" s="1145">
        <f t="shared" si="32"/>
        <v>1</v>
      </c>
      <c r="M108" s="1145">
        <f t="shared" si="32"/>
        <v>1</v>
      </c>
      <c r="N108" s="1145">
        <f t="shared" si="32"/>
        <v>1</v>
      </c>
    </row>
    <row r="109" spans="1:14">
      <c r="A109" s="3378"/>
      <c r="B109" s="3380"/>
      <c r="C109" s="1146">
        <f>(-0.163*(C108^2)-0.59*C108+7617)*(10^(-4))/C101</f>
        <v>0.92881060975609764</v>
      </c>
      <c r="D109" s="1146">
        <f>(-0.163*(D108^2)-0.59*D108+7617)*(10^(-4))/D101</f>
        <v>0.92881060975609764</v>
      </c>
      <c r="E109" s="1146">
        <f>(-0.161*(E108^2)-7.509*E108+6533)*(10^(-4))/E101</f>
        <v>0.79577195121951227</v>
      </c>
      <c r="F109" s="1146">
        <f>(-0.161*(F108^2)-7.509*F108+6533)*(10^(-4))/F101</f>
        <v>0.79577195121951227</v>
      </c>
      <c r="G109" s="1146">
        <f>(-0.161*(G108^2)-7.509*G108+6533)*(10^(-4))/G101</f>
        <v>0.79577195121951227</v>
      </c>
      <c r="H109" s="1146">
        <f>(-0.161*(H108^2)-7.509*H108+6533)*(10^(-4))/H101</f>
        <v>0.79577195121951227</v>
      </c>
      <c r="I109" s="1146">
        <f>(-0.161*(I108^2)-7.509*I108+6533)*(10^(-4))/I101</f>
        <v>0.79577195121951227</v>
      </c>
      <c r="J109" s="1146">
        <f>(-0.214*(J108^2)-21.991*J108+4665)*(10^(-4))/J101</f>
        <v>0.56619451219512196</v>
      </c>
      <c r="K109" s="1146">
        <f>(-0.214*(K108^2)-21.991*K108+4665)*(10^(-4))/K101</f>
        <v>0.56619451219512196</v>
      </c>
      <c r="L109" s="1146">
        <f>(-0.214*(L108^2)-21.991*L108+4665)*(10^(-4))/L101</f>
        <v>0.56619451219512196</v>
      </c>
      <c r="M109" s="1146">
        <f>(-0.214*(M108^2)-21.991*M108+4665)*(10^(-4))/M101</f>
        <v>0.56619451219512196</v>
      </c>
      <c r="N109" s="1146">
        <f>(-0.214*(N108^2)-21.991*N108+4665)*(10^(-4))/N101</f>
        <v>0.56619451219512196</v>
      </c>
    </row>
    <row r="110" spans="1:14">
      <c r="A110" s="3381" t="s">
        <v>1640</v>
      </c>
      <c r="B110" s="3381"/>
      <c r="C110" s="3381"/>
      <c r="D110" s="3381"/>
      <c r="E110" s="3381"/>
      <c r="F110" s="3381"/>
      <c r="G110" s="3381"/>
      <c r="H110" s="3381"/>
      <c r="I110" s="3381"/>
      <c r="J110" s="3381"/>
      <c r="K110" s="2449"/>
      <c r="L110" s="2449"/>
      <c r="M110" s="2449"/>
      <c r="N110" s="2449"/>
    </row>
    <row r="112" spans="1:14" ht="12.75" thickBot="1"/>
    <row r="113" spans="1:13" ht="25.5" thickBot="1">
      <c r="A113" s="1016" t="s">
        <v>896</v>
      </c>
      <c r="B113" s="2452">
        <f>G3</f>
        <v>0.82</v>
      </c>
      <c r="C113" s="1017" t="s">
        <v>897</v>
      </c>
      <c r="D113" s="1018">
        <f>SUMPRODUCT((A115:A118=F113)*(B114:M114=H113)*B115:M118)</f>
        <v>0.82420000000000004</v>
      </c>
      <c r="E113" s="1019" t="s">
        <v>898</v>
      </c>
      <c r="F113" s="1020" t="str">
        <f>E2</f>
        <v>商业</v>
      </c>
      <c r="G113" s="1019" t="s">
        <v>899</v>
      </c>
      <c r="H113" s="1020" t="str">
        <f>G2</f>
        <v>四级</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0.92579999999999996</v>
      </c>
      <c r="C115" s="1030">
        <f>B115</f>
        <v>0.92579999999999996</v>
      </c>
      <c r="D115" s="1030">
        <f>ROUND(0.8331-0.0109*B113,4)</f>
        <v>0.82420000000000004</v>
      </c>
      <c r="E115" s="1030">
        <f>D115</f>
        <v>0.82420000000000004</v>
      </c>
      <c r="F115" s="1030">
        <f>E115</f>
        <v>0.82420000000000004</v>
      </c>
      <c r="G115" s="1030">
        <f>F115</f>
        <v>0.82420000000000004</v>
      </c>
      <c r="H115" s="1030">
        <f>G115</f>
        <v>0.82420000000000004</v>
      </c>
      <c r="I115" s="1030">
        <f>ROUND(0.689-0.0155*B113,4)</f>
        <v>0.67630000000000001</v>
      </c>
      <c r="J115" s="1030">
        <f t="shared" ref="J115:M118" si="33">I115</f>
        <v>0.67630000000000001</v>
      </c>
      <c r="K115" s="1030">
        <f t="shared" si="33"/>
        <v>0.67630000000000001</v>
      </c>
      <c r="L115" s="1030">
        <f t="shared" si="33"/>
        <v>0.67630000000000001</v>
      </c>
      <c r="M115" s="1031">
        <f t="shared" si="33"/>
        <v>0.67630000000000001</v>
      </c>
    </row>
    <row r="116" spans="1:13" ht="12.75">
      <c r="A116" s="1029" t="s">
        <v>901</v>
      </c>
      <c r="B116" s="1030">
        <f>ROUND(0.949-0.012*B113,4)</f>
        <v>0.93920000000000003</v>
      </c>
      <c r="C116" s="1030">
        <f>B116</f>
        <v>0.93920000000000003</v>
      </c>
      <c r="D116" s="1030">
        <f>ROUND(0.8567-0.013*B113,4)</f>
        <v>0.84599999999999997</v>
      </c>
      <c r="E116" s="1030">
        <f t="shared" ref="E116:H117" si="34">D116</f>
        <v>0.84599999999999997</v>
      </c>
      <c r="F116" s="1030">
        <f t="shared" si="34"/>
        <v>0.84599999999999997</v>
      </c>
      <c r="G116" s="1030">
        <f t="shared" si="34"/>
        <v>0.84599999999999997</v>
      </c>
      <c r="H116" s="1030">
        <f t="shared" si="34"/>
        <v>0.84599999999999997</v>
      </c>
      <c r="I116" s="1030">
        <f>ROUND(0.7694-0.014*B113,4)</f>
        <v>0.75790000000000002</v>
      </c>
      <c r="J116" s="1030">
        <f t="shared" si="33"/>
        <v>0.75790000000000002</v>
      </c>
      <c r="K116" s="1030">
        <f t="shared" si="33"/>
        <v>0.75790000000000002</v>
      </c>
      <c r="L116" s="1030">
        <f t="shared" si="33"/>
        <v>0.75790000000000002</v>
      </c>
      <c r="M116" s="1031">
        <f t="shared" si="33"/>
        <v>0.75790000000000002</v>
      </c>
    </row>
    <row r="117" spans="1:13" ht="12.75">
      <c r="A117" s="1032" t="s">
        <v>902</v>
      </c>
      <c r="B117" s="1030">
        <f>ROUND(0.8808-0.006*B113,4)</f>
        <v>0.87590000000000001</v>
      </c>
      <c r="C117" s="1030">
        <f>B117</f>
        <v>0.87590000000000001</v>
      </c>
      <c r="D117" s="1030">
        <f>ROUND(0.8748-0.008*B113,4)</f>
        <v>0.86819999999999997</v>
      </c>
      <c r="E117" s="1030">
        <f t="shared" si="34"/>
        <v>0.86819999999999997</v>
      </c>
      <c r="F117" s="1030">
        <f t="shared" si="34"/>
        <v>0.86819999999999997</v>
      </c>
      <c r="G117" s="1030">
        <f t="shared" si="34"/>
        <v>0.86819999999999997</v>
      </c>
      <c r="H117" s="1030">
        <f t="shared" si="34"/>
        <v>0.86819999999999997</v>
      </c>
      <c r="I117" s="1030">
        <f>ROUND(0.7412-0.0095*B113,4)</f>
        <v>0.73340000000000005</v>
      </c>
      <c r="J117" s="1030">
        <f t="shared" si="33"/>
        <v>0.73340000000000005</v>
      </c>
      <c r="K117" s="1030">
        <f t="shared" si="33"/>
        <v>0.73340000000000005</v>
      </c>
      <c r="L117" s="1030">
        <f t="shared" si="33"/>
        <v>0.73340000000000005</v>
      </c>
      <c r="M117" s="1031">
        <f t="shared" si="33"/>
        <v>0.73340000000000005</v>
      </c>
    </row>
    <row r="118" spans="1:13" ht="13.5" thickBot="1">
      <c r="A118" s="1033" t="s">
        <v>903</v>
      </c>
      <c r="B118" s="1034">
        <f>ROUND(0.7275-0.01*B113,4)</f>
        <v>0.71930000000000005</v>
      </c>
      <c r="C118" s="1034">
        <f>B118</f>
        <v>0.71930000000000005</v>
      </c>
      <c r="D118" s="1034">
        <f>ROUND(0.7043-0.012*B113,4)</f>
        <v>0.69450000000000001</v>
      </c>
      <c r="E118" s="1034">
        <f>D118</f>
        <v>0.69450000000000001</v>
      </c>
      <c r="F118" s="1034">
        <f>E118</f>
        <v>0.69450000000000001</v>
      </c>
      <c r="G118" s="1034">
        <f>ROUND(0.6299-0.0122*B113,4)</f>
        <v>0.61990000000000001</v>
      </c>
      <c r="H118" s="1034">
        <f>G118</f>
        <v>0.61990000000000001</v>
      </c>
      <c r="I118" s="1034">
        <f>ROUND(0.5667-0.0136*B113,4)</f>
        <v>0.55549999999999999</v>
      </c>
      <c r="J118" s="1034">
        <f t="shared" si="33"/>
        <v>0.55549999999999999</v>
      </c>
      <c r="K118" s="1034">
        <f t="shared" si="33"/>
        <v>0.55549999999999999</v>
      </c>
      <c r="L118" s="1034">
        <f t="shared" si="33"/>
        <v>0.55549999999999999</v>
      </c>
      <c r="M118" s="1035">
        <f t="shared" si="33"/>
        <v>0.55549999999999999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71" priority="5" stopIfTrue="1" operator="notEqual">
      <formula>"——"</formula>
    </cfRule>
  </conditionalFormatting>
  <conditionalFormatting sqref="F58">
    <cfRule type="cellIs" dxfId="170" priority="4" stopIfTrue="1" operator="notEqual">
      <formula>"——"</formula>
    </cfRule>
  </conditionalFormatting>
  <conditionalFormatting sqref="F69">
    <cfRule type="cellIs" dxfId="169" priority="3" stopIfTrue="1" operator="notEqual">
      <formula>"——"</formula>
    </cfRule>
  </conditionalFormatting>
  <conditionalFormatting sqref="F80">
    <cfRule type="cellIs" dxfId="168" priority="2" stopIfTrue="1" operator="notEqual">
      <formula>"——"</formula>
    </cfRule>
  </conditionalFormatting>
  <conditionalFormatting sqref="H58:H66 H47:H55 H69:H77 H80:H87">
    <cfRule type="cellIs" dxfId="16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0" zoomScale="80" zoomScaleNormal="95" zoomScaleSheetLayoutView="80" workbookViewId="0">
      <selection activeCell="L27" sqref="L27"/>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59063</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1684</v>
      </c>
      <c r="B3" s="510">
        <f>ROUND(B2*10000/'数据-汇总表'!E3,0)</f>
        <v>11466</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520</v>
      </c>
      <c r="B4" s="427">
        <f>IF(B48="单位面积地价",C50,ROUND(B2*10000/'数据-汇总表'!D3,0))</f>
        <v>28897</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1926</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521</v>
      </c>
      <c r="B6" s="513"/>
      <c r="C6" s="3400" t="s">
        <v>522</v>
      </c>
      <c r="D6" s="3401"/>
      <c r="E6" s="3400" t="s">
        <v>523</v>
      </c>
      <c r="F6" s="3401"/>
      <c r="G6" s="3400" t="s">
        <v>524</v>
      </c>
      <c r="H6" s="3401"/>
      <c r="I6" s="3400" t="s">
        <v>525</v>
      </c>
      <c r="J6" s="3401"/>
      <c r="K6" s="514" t="s">
        <v>526</v>
      </c>
      <c r="L6" s="2134"/>
      <c r="M6" s="2133"/>
      <c r="N6" s="2133"/>
      <c r="O6" s="2135"/>
      <c r="P6" s="3402" t="s">
        <v>527</v>
      </c>
      <c r="Q6" s="3403"/>
      <c r="R6" s="3408" t="s">
        <v>523</v>
      </c>
      <c r="S6" s="3409"/>
      <c r="T6" s="3408" t="s">
        <v>524</v>
      </c>
      <c r="U6" s="3409"/>
      <c r="V6" s="3395" t="s">
        <v>525</v>
      </c>
      <c r="W6" s="3395"/>
      <c r="X6" s="1567"/>
      <c r="Y6" s="3408" t="s">
        <v>527</v>
      </c>
      <c r="Z6" s="3409"/>
      <c r="AA6" s="3397" t="s">
        <v>523</v>
      </c>
      <c r="AB6" s="3398" t="s">
        <v>524</v>
      </c>
      <c r="AC6" s="3397" t="s">
        <v>525</v>
      </c>
    </row>
    <row r="7" spans="1:30" ht="39.75" customHeight="1">
      <c r="A7" s="515"/>
      <c r="B7" s="516"/>
      <c r="C7" s="3418" t="str">
        <f>项目基本情况!F10</f>
        <v>丰台区西三环南路16号商务金融用地出让国有建设用地使用权</v>
      </c>
      <c r="D7" s="3417"/>
      <c r="E7" s="3416" t="str">
        <f>Sheet1!A2</f>
        <v>北京市丰台区丽泽金融商务区南区F-22、F-23地块F3其他类多功能用地</v>
      </c>
      <c r="F7" s="3417"/>
      <c r="G7" s="3416" t="str">
        <f>Sheet1!A3</f>
        <v>丰台区丽泽金融商务区南区D-07、D-08地块</v>
      </c>
      <c r="H7" s="3417"/>
      <c r="I7" s="3416" t="str">
        <f>Sheet1!A4</f>
        <v>丰台区花乡四合庄(中关村科技园丰台园东区三期)1516-28-A地块</v>
      </c>
      <c r="J7" s="3417"/>
      <c r="K7" s="514"/>
      <c r="L7" s="2134"/>
      <c r="M7" s="2133"/>
      <c r="N7" s="2133"/>
      <c r="O7" s="2135"/>
      <c r="P7" s="3404"/>
      <c r="Q7" s="3405"/>
      <c r="R7" s="3410"/>
      <c r="S7" s="3411"/>
      <c r="T7" s="3410"/>
      <c r="U7" s="3411"/>
      <c r="V7" s="3395"/>
      <c r="W7" s="3395"/>
      <c r="X7" s="1567"/>
      <c r="Y7" s="3410"/>
      <c r="Z7" s="3411"/>
      <c r="AA7" s="3398"/>
      <c r="AB7" s="3398"/>
      <c r="AC7" s="3398"/>
    </row>
    <row r="8" spans="1:30" ht="21" thickBot="1">
      <c r="A8" s="515"/>
      <c r="B8" s="516"/>
      <c r="C8" s="3414" t="s">
        <v>3398</v>
      </c>
      <c r="D8" s="3415"/>
      <c r="E8" s="3414" t="s">
        <v>3398</v>
      </c>
      <c r="F8" s="3415"/>
      <c r="G8" s="3414" t="s">
        <v>3398</v>
      </c>
      <c r="H8" s="3415"/>
      <c r="I8" s="3414" t="s">
        <v>3398</v>
      </c>
      <c r="J8" s="3415"/>
      <c r="K8" s="514" t="s">
        <v>528</v>
      </c>
      <c r="L8" s="2134"/>
      <c r="M8" s="2133"/>
      <c r="N8" s="2133"/>
      <c r="O8" s="2135"/>
      <c r="P8" s="3406"/>
      <c r="Q8" s="3407"/>
      <c r="R8" s="3410"/>
      <c r="S8" s="3411"/>
      <c r="T8" s="3412"/>
      <c r="U8" s="3413"/>
      <c r="V8" s="3395"/>
      <c r="W8" s="3395"/>
      <c r="X8" s="1567"/>
      <c r="Y8" s="3412"/>
      <c r="Z8" s="3413"/>
      <c r="AA8" s="3399"/>
      <c r="AB8" s="3399"/>
      <c r="AC8" s="3399"/>
    </row>
    <row r="9" spans="1:30" s="1220" customFormat="1" ht="21" thickBot="1">
      <c r="A9" s="2913"/>
      <c r="B9" s="2920" t="s">
        <v>529</v>
      </c>
      <c r="C9" s="2912">
        <f>'数据-取费表'!B2</f>
        <v>43402</v>
      </c>
      <c r="D9" s="520">
        <v>100</v>
      </c>
      <c r="E9" s="521" t="str">
        <f>Sheet1!AA2</f>
        <v>2018-07-06</v>
      </c>
      <c r="F9" s="522">
        <f>SUMIF(72:72,YEAR(E9)&amp;"-"&amp;INT((MONTH(E9)+2)/3),73:73)</f>
        <v>99</v>
      </c>
      <c r="G9" s="523" t="str">
        <f>Sheet1!AA3</f>
        <v>2017-05-18</v>
      </c>
      <c r="H9" s="520">
        <f>SUMIF(72:72,YEAR(G9)&amp;"-"&amp;INT((MONTH(G9)+2)/3),73:73)</f>
        <v>94</v>
      </c>
      <c r="I9" s="523" t="str">
        <f>Sheet1!AA4</f>
        <v>2015-10-21</v>
      </c>
      <c r="J9" s="520">
        <f>SUMIF(72:72,YEAR(I9)&amp;"-"&amp;INT((MONTH(I9)+2)/3),73:73)</f>
        <v>88</v>
      </c>
      <c r="K9" s="524"/>
      <c r="L9" s="2136"/>
      <c r="M9" s="2133"/>
      <c r="N9" s="2133"/>
      <c r="O9" s="2137"/>
      <c r="P9" s="3424" t="s">
        <v>530</v>
      </c>
      <c r="Q9" s="3426"/>
      <c r="R9" s="1568" t="s">
        <v>8</v>
      </c>
      <c r="S9" s="1569">
        <f t="shared" ref="S9:S17" si="0">F9</f>
        <v>99</v>
      </c>
      <c r="T9" s="1568" t="s">
        <v>8</v>
      </c>
      <c r="U9" s="1569">
        <f t="shared" ref="U9:U17" si="1">H9</f>
        <v>94</v>
      </c>
      <c r="V9" s="1568" t="s">
        <v>8</v>
      </c>
      <c r="W9" s="1569">
        <f t="shared" ref="W9:W17" si="2">J9</f>
        <v>88</v>
      </c>
      <c r="X9" s="1570"/>
      <c r="Y9" s="3424" t="s">
        <v>530</v>
      </c>
      <c r="Z9" s="3425"/>
      <c r="AA9" s="1571">
        <f>D9/F9</f>
        <v>1.0101010101010102</v>
      </c>
      <c r="AB9" s="1571">
        <f>D9/H9</f>
        <v>1.0638297872340425</v>
      </c>
      <c r="AC9" s="1571">
        <f>D9/J9</f>
        <v>1.1363636363636365</v>
      </c>
    </row>
    <row r="10" spans="1:30" s="1220" customFormat="1" ht="21" thickBot="1">
      <c r="A10" s="2914"/>
      <c r="B10" s="2921"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6"/>
      <c r="M10" s="2133"/>
      <c r="N10" s="2133"/>
      <c r="O10" s="2137"/>
      <c r="P10" s="3424" t="s">
        <v>533</v>
      </c>
      <c r="Q10" s="3425"/>
      <c r="R10" s="1568" t="s">
        <v>8</v>
      </c>
      <c r="S10" s="1569">
        <f t="shared" si="0"/>
        <v>100</v>
      </c>
      <c r="T10" s="1568" t="s">
        <v>8</v>
      </c>
      <c r="U10" s="1569">
        <f t="shared" si="1"/>
        <v>100</v>
      </c>
      <c r="V10" s="1568" t="s">
        <v>8</v>
      </c>
      <c r="W10" s="1569">
        <f t="shared" si="2"/>
        <v>100</v>
      </c>
      <c r="X10" s="1570"/>
      <c r="Y10" s="3424" t="s">
        <v>533</v>
      </c>
      <c r="Z10" s="3425"/>
      <c r="AA10" s="1571">
        <f t="shared" ref="AA10:AA47" si="3">D10/F10</f>
        <v>1</v>
      </c>
      <c r="AB10" s="1571">
        <f t="shared" ref="AB10:AB47" si="4">D10/H10</f>
        <v>1</v>
      </c>
      <c r="AC10" s="1571">
        <f t="shared" ref="AC10:AC47" si="5">D10/J10</f>
        <v>1</v>
      </c>
    </row>
    <row r="11" spans="1:30" s="1220" customFormat="1" ht="20.25">
      <c r="A11" s="2915"/>
      <c r="B11" s="2922" t="s">
        <v>2755</v>
      </c>
      <c r="C11" s="2909" t="s">
        <v>2985</v>
      </c>
      <c r="D11" s="254">
        <v>100</v>
      </c>
      <c r="E11" s="3196" t="s">
        <v>3432</v>
      </c>
      <c r="F11" s="3197">
        <f>SUMIF(77:77,E11,78:78)-SUMIF(77:77,C11,78:78)+100</f>
        <v>105</v>
      </c>
      <c r="G11" s="3196" t="s">
        <v>3432</v>
      </c>
      <c r="H11" s="3197">
        <f>SUMIF(77:77,G11,78:78)-SUMIF(77:77,C11,78:78)+100</f>
        <v>105</v>
      </c>
      <c r="I11" s="3196" t="s">
        <v>3432</v>
      </c>
      <c r="J11" s="3197">
        <f>SUMIF(77:77,I11,78:78)-SUMIF(77:77,C11,78:78)+100</f>
        <v>105</v>
      </c>
      <c r="K11" s="524"/>
      <c r="L11" s="2136"/>
      <c r="M11" s="2133"/>
      <c r="N11" s="2133"/>
      <c r="O11" s="2138"/>
      <c r="P11" s="3394" t="s">
        <v>535</v>
      </c>
      <c r="Q11" s="1151" t="str">
        <f t="shared" ref="Q11:Q17" si="6">B11</f>
        <v>用途</v>
      </c>
      <c r="R11" s="1568" t="s">
        <v>8</v>
      </c>
      <c r="S11" s="1569">
        <f t="shared" si="0"/>
        <v>105</v>
      </c>
      <c r="T11" s="1568" t="s">
        <v>8</v>
      </c>
      <c r="U11" s="1569">
        <f t="shared" si="1"/>
        <v>105</v>
      </c>
      <c r="V11" s="1568" t="s">
        <v>8</v>
      </c>
      <c r="W11" s="1569">
        <f t="shared" si="2"/>
        <v>105</v>
      </c>
      <c r="X11" s="1570"/>
      <c r="Y11" s="3322" t="s">
        <v>536</v>
      </c>
      <c r="Z11" s="1150" t="str">
        <f t="shared" ref="Z11:Z17" si="7">Q11</f>
        <v>用途</v>
      </c>
      <c r="AA11" s="1571">
        <f t="shared" si="3"/>
        <v>0.95238095238095233</v>
      </c>
      <c r="AB11" s="1571">
        <f t="shared" si="4"/>
        <v>0.95238095238095233</v>
      </c>
      <c r="AC11" s="1571">
        <f t="shared" si="5"/>
        <v>0.95238095238095233</v>
      </c>
    </row>
    <row r="12" spans="1:30" s="1338" customFormat="1" ht="27">
      <c r="A12" s="2916"/>
      <c r="B12" s="2921" t="s">
        <v>2756</v>
      </c>
      <c r="C12" s="910">
        <f>'数据-取费表'!F6</f>
        <v>38.58</v>
      </c>
      <c r="D12" s="255">
        <v>100</v>
      </c>
      <c r="E12" s="529" t="s">
        <v>3399</v>
      </c>
      <c r="F12" s="255">
        <f>ROUND(100/'数据-取费表'!G16,0)</f>
        <v>101</v>
      </c>
      <c r="G12" s="529" t="s">
        <v>3399</v>
      </c>
      <c r="H12" s="255">
        <f>ROUND(100/'数据-取费表'!G16,0)</f>
        <v>101</v>
      </c>
      <c r="I12" s="529" t="s">
        <v>3399</v>
      </c>
      <c r="J12" s="255">
        <f>ROUND(100/'数据-取费表'!G16,0)</f>
        <v>101</v>
      </c>
      <c r="K12" s="531"/>
      <c r="L12" s="2139"/>
      <c r="M12" s="2133"/>
      <c r="N12" s="2133"/>
      <c r="O12" s="2140"/>
      <c r="P12" s="3394"/>
      <c r="Q12" s="1151" t="str">
        <f t="shared" si="6"/>
        <v>土地使用年限（年）</v>
      </c>
      <c r="R12" s="1568" t="s">
        <v>8</v>
      </c>
      <c r="S12" s="1569">
        <f t="shared" si="0"/>
        <v>101</v>
      </c>
      <c r="T12" s="1568" t="s">
        <v>8</v>
      </c>
      <c r="U12" s="1569">
        <f t="shared" si="1"/>
        <v>101</v>
      </c>
      <c r="V12" s="1568" t="s">
        <v>8</v>
      </c>
      <c r="W12" s="1569">
        <f t="shared" si="2"/>
        <v>101</v>
      </c>
      <c r="X12" s="1570"/>
      <c r="Y12" s="3322"/>
      <c r="Z12" s="1150" t="str">
        <f t="shared" si="7"/>
        <v>土地使用年限（年）</v>
      </c>
      <c r="AA12" s="1571">
        <f t="shared" si="3"/>
        <v>0.99009900990099009</v>
      </c>
      <c r="AB12" s="1571">
        <f t="shared" si="4"/>
        <v>0.99009900990099009</v>
      </c>
      <c r="AC12" s="1571">
        <f t="shared" si="5"/>
        <v>0.99009900990099009</v>
      </c>
    </row>
    <row r="13" spans="1:30" ht="20.25">
      <c r="A13" s="2917"/>
      <c r="B13" s="2921" t="s">
        <v>2757</v>
      </c>
      <c r="C13" s="534">
        <f>'数据-汇总表'!I6</f>
        <v>0.85</v>
      </c>
      <c r="D13" s="255">
        <v>100</v>
      </c>
      <c r="E13" s="533">
        <f>Sheet1!L2</f>
        <v>3</v>
      </c>
      <c r="F13" s="255">
        <f>LOOKUP(E13,82:82,83:83)-LOOKUP(C13,82:82,83:83)+100</f>
        <v>95.5</v>
      </c>
      <c r="G13" s="534">
        <f>Sheet1!L3</f>
        <v>5.8</v>
      </c>
      <c r="H13" s="255">
        <f>LOOKUP(G13,82:82,83:83)-LOOKUP(C13,82:82,83:83)+100</f>
        <v>92.5</v>
      </c>
      <c r="I13" s="533">
        <f>Sheet1!L4</f>
        <v>4</v>
      </c>
      <c r="J13" s="255">
        <f>LOOKUP(I13,82:82,83:83)-LOOKUP(C13,82:82,83:83)+100</f>
        <v>94</v>
      </c>
      <c r="K13" s="535">
        <v>1.5</v>
      </c>
      <c r="L13" s="2141"/>
      <c r="M13" s="2133"/>
      <c r="N13" s="2133"/>
      <c r="O13" s="2142"/>
      <c r="P13" s="3394"/>
      <c r="Q13" s="1151" t="str">
        <f t="shared" si="6"/>
        <v>容积率</v>
      </c>
      <c r="R13" s="1568" t="s">
        <v>8</v>
      </c>
      <c r="S13" s="1569">
        <f t="shared" si="0"/>
        <v>95.5</v>
      </c>
      <c r="T13" s="1568" t="s">
        <v>8</v>
      </c>
      <c r="U13" s="1569">
        <f t="shared" si="1"/>
        <v>92.5</v>
      </c>
      <c r="V13" s="1568" t="s">
        <v>8</v>
      </c>
      <c r="W13" s="1569">
        <f t="shared" si="2"/>
        <v>94</v>
      </c>
      <c r="X13" s="1570"/>
      <c r="Y13" s="3322"/>
      <c r="Z13" s="1150" t="str">
        <f t="shared" si="7"/>
        <v>容积率</v>
      </c>
      <c r="AA13" s="1571">
        <f t="shared" si="3"/>
        <v>1.0471204188481675</v>
      </c>
      <c r="AB13" s="1571">
        <f t="shared" si="4"/>
        <v>1.0810810810810811</v>
      </c>
      <c r="AC13" s="1571">
        <f t="shared" si="5"/>
        <v>1.0638297872340425</v>
      </c>
    </row>
    <row r="14" spans="1:30" s="1220" customFormat="1" ht="20.25" hidden="1">
      <c r="A14" s="2914"/>
      <c r="B14" s="2923" t="s">
        <v>2758</v>
      </c>
      <c r="C14" s="2910"/>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394"/>
      <c r="Q14" s="1151" t="str">
        <f t="shared" si="6"/>
        <v>配建</v>
      </c>
      <c r="R14" s="1568" t="s">
        <v>8</v>
      </c>
      <c r="S14" s="1569">
        <f t="shared" si="0"/>
        <v>100</v>
      </c>
      <c r="T14" s="1568" t="s">
        <v>8</v>
      </c>
      <c r="U14" s="1569">
        <f t="shared" si="1"/>
        <v>100</v>
      </c>
      <c r="V14" s="1568" t="s">
        <v>8</v>
      </c>
      <c r="W14" s="1569">
        <f t="shared" si="2"/>
        <v>100</v>
      </c>
      <c r="X14" s="1570"/>
      <c r="Y14" s="3322"/>
      <c r="Z14" s="1150" t="str">
        <f t="shared" si="7"/>
        <v>配建</v>
      </c>
      <c r="AA14" s="1571">
        <f>D14/F14</f>
        <v>1</v>
      </c>
      <c r="AB14" s="1571">
        <f>D14/H14</f>
        <v>1</v>
      </c>
      <c r="AC14" s="1571">
        <f>D14/J14</f>
        <v>1</v>
      </c>
    </row>
    <row r="15" spans="1:30" ht="20.25" hidden="1">
      <c r="A15" s="2918"/>
      <c r="B15" s="2924">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94"/>
      <c r="Q15" s="1151">
        <f t="shared" si="6"/>
        <v>111</v>
      </c>
      <c r="R15" s="1568" t="s">
        <v>8</v>
      </c>
      <c r="S15" s="1569">
        <f t="shared" si="0"/>
        <v>100</v>
      </c>
      <c r="T15" s="1568" t="s">
        <v>8</v>
      </c>
      <c r="U15" s="1569">
        <f t="shared" si="1"/>
        <v>100</v>
      </c>
      <c r="V15" s="1568" t="s">
        <v>8</v>
      </c>
      <c r="W15" s="1569">
        <f t="shared" si="2"/>
        <v>100</v>
      </c>
      <c r="X15" s="1570"/>
      <c r="Y15" s="3322"/>
      <c r="Z15" s="1150">
        <f t="shared" si="7"/>
        <v>111</v>
      </c>
      <c r="AA15" s="1571">
        <f>D15/F15</f>
        <v>1</v>
      </c>
      <c r="AB15" s="1571">
        <f>D15/H15</f>
        <v>1</v>
      </c>
      <c r="AC15" s="1571">
        <f>D15/J15</f>
        <v>1</v>
      </c>
    </row>
    <row r="16" spans="1:30" ht="21" hidden="1" thickBot="1">
      <c r="A16" s="2919"/>
      <c r="B16" s="2925">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94"/>
      <c r="Q16" s="1151">
        <f t="shared" si="6"/>
        <v>111</v>
      </c>
      <c r="R16" s="1568" t="s">
        <v>8</v>
      </c>
      <c r="S16" s="1569">
        <f t="shared" si="0"/>
        <v>100</v>
      </c>
      <c r="T16" s="1568" t="s">
        <v>8</v>
      </c>
      <c r="U16" s="1569">
        <f t="shared" si="1"/>
        <v>100</v>
      </c>
      <c r="V16" s="1568" t="s">
        <v>8</v>
      </c>
      <c r="W16" s="1569">
        <f t="shared" si="2"/>
        <v>100</v>
      </c>
      <c r="X16" s="1570"/>
      <c r="Y16" s="3322"/>
      <c r="Z16" s="1150">
        <f t="shared" si="7"/>
        <v>111</v>
      </c>
      <c r="AA16" s="1571">
        <f>D16/F16</f>
        <v>1</v>
      </c>
      <c r="AB16" s="1571">
        <f>D16/H16</f>
        <v>1</v>
      </c>
      <c r="AC16" s="1571">
        <f>D16/J16</f>
        <v>1</v>
      </c>
    </row>
    <row r="17" spans="1:29" ht="20.25" hidden="1">
      <c r="A17" s="2911" t="s">
        <v>2753</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100</v>
      </c>
      <c r="K17" s="535"/>
      <c r="L17" s="2143"/>
      <c r="M17" s="2133"/>
      <c r="N17" s="2133"/>
      <c r="O17" s="2142"/>
      <c r="P17" s="3427" t="s">
        <v>540</v>
      </c>
      <c r="Q17" s="1572" t="str">
        <f t="shared" si="6"/>
        <v>居住社区成熟度</v>
      </c>
      <c r="R17" s="1573" t="s">
        <v>8</v>
      </c>
      <c r="S17" s="1574">
        <f t="shared" si="0"/>
        <v>100</v>
      </c>
      <c r="T17" s="1573" t="s">
        <v>8</v>
      </c>
      <c r="U17" s="1574">
        <f t="shared" si="1"/>
        <v>100</v>
      </c>
      <c r="V17" s="1573" t="s">
        <v>8</v>
      </c>
      <c r="W17" s="1574">
        <f t="shared" si="2"/>
        <v>100</v>
      </c>
      <c r="X17" s="1567"/>
      <c r="Y17" s="3427" t="s">
        <v>540</v>
      </c>
      <c r="Z17" s="1575" t="str">
        <f t="shared" si="7"/>
        <v>居住社区成熟度</v>
      </c>
      <c r="AA17" s="1576">
        <f t="shared" si="3"/>
        <v>1</v>
      </c>
      <c r="AB17" s="1576">
        <f t="shared" si="4"/>
        <v>1</v>
      </c>
      <c r="AC17" s="1576">
        <f t="shared" si="5"/>
        <v>1</v>
      </c>
    </row>
    <row r="18" spans="1:29" ht="20.25" hidden="1">
      <c r="A18" s="532"/>
      <c r="B18" s="553"/>
      <c r="C18" s="554"/>
      <c r="D18" s="557"/>
      <c r="E18" s="558"/>
      <c r="F18" s="555"/>
      <c r="G18" s="556"/>
      <c r="H18" s="559"/>
      <c r="I18" s="558"/>
      <c r="J18" s="555"/>
      <c r="K18" s="531"/>
      <c r="L18" s="2143"/>
      <c r="M18" s="2133"/>
      <c r="N18" s="2133"/>
      <c r="O18" s="2142"/>
      <c r="P18" s="3428"/>
      <c r="Q18" s="1572"/>
      <c r="R18" s="1573"/>
      <c r="S18" s="1574"/>
      <c r="T18" s="1573"/>
      <c r="U18" s="1574"/>
      <c r="V18" s="1573"/>
      <c r="W18" s="1574"/>
      <c r="X18" s="1567"/>
      <c r="Y18" s="3428"/>
      <c r="Z18" s="1575"/>
      <c r="AA18" s="1576">
        <v>1</v>
      </c>
      <c r="AB18" s="1576">
        <v>1</v>
      </c>
      <c r="AC18" s="1576">
        <v>1</v>
      </c>
    </row>
    <row r="19" spans="1:29" ht="20.25">
      <c r="A19" s="532"/>
      <c r="B19" s="560" t="s">
        <v>541</v>
      </c>
      <c r="C19" s="561" t="str">
        <f>估价对象房地状况!C16</f>
        <v>较好</v>
      </c>
      <c r="D19" s="563">
        <v>100</v>
      </c>
      <c r="E19" s="564"/>
      <c r="F19" s="559">
        <f>SUMIF(92:92,E20,93:93)-SUMIF(92:92,C20,93:93)+100</f>
        <v>100</v>
      </c>
      <c r="G19" s="562"/>
      <c r="H19" s="565">
        <f>SUMIF(92:92,G20,93:93)-SUMIF(92:92,C20,93:93)+100</f>
        <v>100</v>
      </c>
      <c r="I19" s="564"/>
      <c r="J19" s="565">
        <f>SUMIF(92:92,I20,93:93)-SUMIF(92:92,C20,93:93)+100</f>
        <v>100</v>
      </c>
      <c r="K19" s="535">
        <v>2</v>
      </c>
      <c r="L19" s="2143"/>
      <c r="M19" s="2133"/>
      <c r="N19" s="2133"/>
      <c r="O19" s="2142"/>
      <c r="P19" s="3428"/>
      <c r="Q19" s="1572" t="str">
        <f>B19</f>
        <v>商业繁华度</v>
      </c>
      <c r="R19" s="1573" t="s">
        <v>8</v>
      </c>
      <c r="S19" s="1574">
        <f>F19</f>
        <v>100</v>
      </c>
      <c r="T19" s="1573" t="s">
        <v>8</v>
      </c>
      <c r="U19" s="1574">
        <f>H19</f>
        <v>100</v>
      </c>
      <c r="V19" s="1573" t="s">
        <v>8</v>
      </c>
      <c r="W19" s="1574">
        <f>J19</f>
        <v>100</v>
      </c>
      <c r="X19" s="1567"/>
      <c r="Y19" s="3428"/>
      <c r="Z19" s="1575" t="str">
        <f>Q19</f>
        <v>商业繁华度</v>
      </c>
      <c r="AA19" s="1576">
        <f t="shared" si="3"/>
        <v>1</v>
      </c>
      <c r="AB19" s="1576">
        <f t="shared" si="4"/>
        <v>1</v>
      </c>
      <c r="AC19" s="1576">
        <f t="shared" si="5"/>
        <v>1</v>
      </c>
    </row>
    <row r="20" spans="1:29" ht="20.25">
      <c r="A20" s="532"/>
      <c r="B20" s="566"/>
      <c r="C20" s="567" t="s">
        <v>3394</v>
      </c>
      <c r="D20" s="563"/>
      <c r="E20" s="567" t="s">
        <v>3394</v>
      </c>
      <c r="F20" s="559"/>
      <c r="G20" s="567" t="s">
        <v>3394</v>
      </c>
      <c r="H20" s="555"/>
      <c r="I20" s="567" t="s">
        <v>3394</v>
      </c>
      <c r="J20" s="555"/>
      <c r="K20" s="531"/>
      <c r="L20" s="2143"/>
      <c r="M20" s="2133"/>
      <c r="N20" s="2133"/>
      <c r="O20" s="2142"/>
      <c r="P20" s="3428"/>
      <c r="Q20" s="1572"/>
      <c r="R20" s="1573"/>
      <c r="S20" s="1574"/>
      <c r="T20" s="1573"/>
      <c r="U20" s="1574"/>
      <c r="V20" s="1573"/>
      <c r="W20" s="1574"/>
      <c r="X20" s="1567"/>
      <c r="Y20" s="3428"/>
      <c r="Z20" s="1575"/>
      <c r="AA20" s="1576">
        <v>1</v>
      </c>
      <c r="AB20" s="1576">
        <v>1</v>
      </c>
      <c r="AC20" s="1576">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3"/>
      <c r="M21" s="2133"/>
      <c r="N21" s="2133"/>
      <c r="O21" s="2142"/>
      <c r="P21" s="3428"/>
      <c r="Q21" s="1572" t="str">
        <f>B21</f>
        <v>办公集聚程度</v>
      </c>
      <c r="R21" s="1573" t="s">
        <v>8</v>
      </c>
      <c r="S21" s="1574">
        <f>F21</f>
        <v>100</v>
      </c>
      <c r="T21" s="1573" t="s">
        <v>8</v>
      </c>
      <c r="U21" s="1574">
        <f>H21</f>
        <v>100</v>
      </c>
      <c r="V21" s="1573" t="s">
        <v>8</v>
      </c>
      <c r="W21" s="1574">
        <f>J21</f>
        <v>100</v>
      </c>
      <c r="X21" s="1567"/>
      <c r="Y21" s="3428"/>
      <c r="Z21" s="1575" t="str">
        <f>Q21</f>
        <v>办公集聚程度</v>
      </c>
      <c r="AA21" s="1576">
        <f t="shared" si="3"/>
        <v>1</v>
      </c>
      <c r="AB21" s="1576">
        <f t="shared" si="4"/>
        <v>1</v>
      </c>
      <c r="AC21" s="1576">
        <f t="shared" si="5"/>
        <v>1</v>
      </c>
    </row>
    <row r="22" spans="1:29" ht="20.25" hidden="1">
      <c r="A22" s="532"/>
      <c r="B22" s="566"/>
      <c r="C22" s="554"/>
      <c r="D22" s="557"/>
      <c r="E22" s="558"/>
      <c r="F22" s="555"/>
      <c r="G22" s="556"/>
      <c r="H22" s="555"/>
      <c r="I22" s="558"/>
      <c r="J22" s="555"/>
      <c r="K22" s="531"/>
      <c r="L22" s="2143"/>
      <c r="M22" s="2133"/>
      <c r="N22" s="2133"/>
      <c r="O22" s="2142"/>
      <c r="P22" s="3428"/>
      <c r="Q22" s="1572"/>
      <c r="R22" s="1573"/>
      <c r="S22" s="1574"/>
      <c r="T22" s="1573"/>
      <c r="U22" s="1574"/>
      <c r="V22" s="1573"/>
      <c r="W22" s="1574"/>
      <c r="X22" s="1567"/>
      <c r="Y22" s="3428"/>
      <c r="Z22" s="1575"/>
      <c r="AA22" s="1576">
        <v>1</v>
      </c>
      <c r="AB22" s="1576">
        <v>1</v>
      </c>
      <c r="AC22" s="1576">
        <v>1</v>
      </c>
    </row>
    <row r="23" spans="1:29" ht="20.25">
      <c r="A23" s="532"/>
      <c r="B23" s="560" t="s">
        <v>543</v>
      </c>
      <c r="C23" s="573" t="str">
        <f>估价对象房地状况!C18</f>
        <v>较好</v>
      </c>
      <c r="D23" s="563">
        <v>100</v>
      </c>
      <c r="E23" s="564"/>
      <c r="F23" s="565">
        <f>SUMIF(96:96,E24,97:97)-SUMIF(96:96,C24,97:97)+100</f>
        <v>98</v>
      </c>
      <c r="G23" s="562"/>
      <c r="H23" s="559">
        <f>SUMIF(96:96,G24,97:97)-SUMIF(96:96,C24,97:97)+100</f>
        <v>98</v>
      </c>
      <c r="I23" s="564"/>
      <c r="J23" s="559">
        <f>SUMIF(96:96,I24,97:97)-SUMIF(96:96,C24,97:97)+100</f>
        <v>100</v>
      </c>
      <c r="K23" s="535">
        <v>2</v>
      </c>
      <c r="L23" s="2143"/>
      <c r="M23" s="2133"/>
      <c r="N23" s="2133"/>
      <c r="O23" s="2142"/>
      <c r="P23" s="3428"/>
      <c r="Q23" s="1572" t="str">
        <f>B23</f>
        <v>交通便捷度</v>
      </c>
      <c r="R23" s="1573" t="s">
        <v>8</v>
      </c>
      <c r="S23" s="1574">
        <f>F23</f>
        <v>98</v>
      </c>
      <c r="T23" s="1573" t="s">
        <v>8</v>
      </c>
      <c r="U23" s="1574">
        <f>H23</f>
        <v>98</v>
      </c>
      <c r="V23" s="1573" t="s">
        <v>8</v>
      </c>
      <c r="W23" s="1574">
        <f>J23</f>
        <v>100</v>
      </c>
      <c r="X23" s="1567"/>
      <c r="Y23" s="3428"/>
      <c r="Z23" s="1575" t="str">
        <f>Q23</f>
        <v>交通便捷度</v>
      </c>
      <c r="AA23" s="1576">
        <f t="shared" si="3"/>
        <v>1.0204081632653061</v>
      </c>
      <c r="AB23" s="1576">
        <f t="shared" si="4"/>
        <v>1.0204081632653061</v>
      </c>
      <c r="AC23" s="1576">
        <f t="shared" si="5"/>
        <v>1</v>
      </c>
    </row>
    <row r="24" spans="1:29" ht="20.25">
      <c r="A24" s="532"/>
      <c r="B24" s="578"/>
      <c r="C24" s="554" t="s">
        <v>3394</v>
      </c>
      <c r="D24" s="557"/>
      <c r="E24" s="554" t="s">
        <v>3395</v>
      </c>
      <c r="F24" s="3198"/>
      <c r="G24" s="554" t="s">
        <v>3395</v>
      </c>
      <c r="H24" s="3198"/>
      <c r="I24" s="554" t="s">
        <v>3394</v>
      </c>
      <c r="J24" s="3198"/>
      <c r="K24" s="531"/>
      <c r="L24" s="2143"/>
      <c r="M24" s="2133"/>
      <c r="N24" s="2133"/>
      <c r="O24" s="2142"/>
      <c r="P24" s="3428"/>
      <c r="Q24" s="1572"/>
      <c r="R24" s="1573"/>
      <c r="S24" s="1574"/>
      <c r="T24" s="1573"/>
      <c r="U24" s="1574"/>
      <c r="V24" s="1573"/>
      <c r="W24" s="1574"/>
      <c r="X24" s="1567"/>
      <c r="Y24" s="3428"/>
      <c r="Z24" s="1575"/>
      <c r="AA24" s="1576">
        <v>1</v>
      </c>
      <c r="AB24" s="1576">
        <v>1</v>
      </c>
      <c r="AC24" s="1576">
        <v>1</v>
      </c>
    </row>
    <row r="25" spans="1:29" ht="27">
      <c r="A25" s="515"/>
      <c r="B25" s="259" t="s">
        <v>544</v>
      </c>
      <c r="C25" s="573" t="str">
        <f>估价对象房地状况!C19</f>
        <v>较好</v>
      </c>
      <c r="D25" s="563">
        <v>100</v>
      </c>
      <c r="E25" s="564"/>
      <c r="F25" s="565">
        <f>SUMIF(98:98,E26,99:99)-SUMIF(98:98,C26,99:99)+100</f>
        <v>100</v>
      </c>
      <c r="G25" s="562"/>
      <c r="H25" s="559">
        <f>SUMIF(98:98,G26,99:99)-SUMIF(98:98,C26,99:99)+100</f>
        <v>100</v>
      </c>
      <c r="I25" s="564"/>
      <c r="J25" s="559">
        <f>SUMIF(98:98,I26,99:99)-SUMIF(98:98,C26,99:99)+100</f>
        <v>100</v>
      </c>
      <c r="K25" s="535">
        <v>2</v>
      </c>
      <c r="L25" s="2143"/>
      <c r="M25" s="2133"/>
      <c r="N25" s="2133"/>
      <c r="O25" s="2142"/>
      <c r="P25" s="3428"/>
      <c r="Q25" s="1572" t="str">
        <f t="shared" ref="Q25:Q39" si="8">B25</f>
        <v>区域土地利用方向</v>
      </c>
      <c r="R25" s="1573" t="s">
        <v>8</v>
      </c>
      <c r="S25" s="1574">
        <f>F25</f>
        <v>100</v>
      </c>
      <c r="T25" s="1573" t="s">
        <v>8</v>
      </c>
      <c r="U25" s="1574">
        <f>H25</f>
        <v>100</v>
      </c>
      <c r="V25" s="1573" t="s">
        <v>8</v>
      </c>
      <c r="W25" s="1574">
        <f>J25</f>
        <v>100</v>
      </c>
      <c r="X25" s="1567"/>
      <c r="Y25" s="3428"/>
      <c r="Z25" s="1575" t="str">
        <f>Q25</f>
        <v>区域土地利用方向</v>
      </c>
      <c r="AA25" s="1576">
        <f t="shared" si="3"/>
        <v>1</v>
      </c>
      <c r="AB25" s="1576">
        <f t="shared" si="4"/>
        <v>1</v>
      </c>
      <c r="AC25" s="1576">
        <f t="shared" si="5"/>
        <v>1</v>
      </c>
    </row>
    <row r="26" spans="1:29" ht="20.25">
      <c r="A26" s="515"/>
      <c r="B26" s="1007"/>
      <c r="C26" s="554" t="s">
        <v>3394</v>
      </c>
      <c r="D26" s="557"/>
      <c r="E26" s="554" t="s">
        <v>3394</v>
      </c>
      <c r="F26" s="555"/>
      <c r="G26" s="554" t="s">
        <v>3394</v>
      </c>
      <c r="H26" s="555"/>
      <c r="I26" s="554" t="s">
        <v>3394</v>
      </c>
      <c r="J26" s="555"/>
      <c r="K26" s="531"/>
      <c r="L26" s="2143"/>
      <c r="M26" s="2133"/>
      <c r="N26" s="2133"/>
      <c r="O26" s="2142"/>
      <c r="P26" s="3428"/>
      <c r="Q26" s="1572"/>
      <c r="R26" s="1573"/>
      <c r="S26" s="1574"/>
      <c r="T26" s="1573"/>
      <c r="U26" s="1574"/>
      <c r="V26" s="1573"/>
      <c r="W26" s="1574"/>
      <c r="X26" s="1567"/>
      <c r="Y26" s="3428"/>
      <c r="Z26" s="1575"/>
      <c r="AA26" s="1576"/>
      <c r="AB26" s="1576"/>
      <c r="AC26" s="1576"/>
    </row>
    <row r="27" spans="1:29" ht="27">
      <c r="A27" s="515"/>
      <c r="B27" s="578" t="s">
        <v>545</v>
      </c>
      <c r="C27" s="561" t="str">
        <f>估价对象房地状况!C20</f>
        <v>较好</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3"/>
      <c r="M27" s="2133"/>
      <c r="N27" s="2133"/>
      <c r="O27" s="2142"/>
      <c r="P27" s="3428"/>
      <c r="Q27" s="1572" t="str">
        <f t="shared" si="8"/>
        <v>自然及人文环境状况</v>
      </c>
      <c r="R27" s="1573" t="s">
        <v>8</v>
      </c>
      <c r="S27" s="1574">
        <f>F27</f>
        <v>100</v>
      </c>
      <c r="T27" s="1573" t="s">
        <v>8</v>
      </c>
      <c r="U27" s="1574">
        <f>H27</f>
        <v>100</v>
      </c>
      <c r="V27" s="1573" t="s">
        <v>8</v>
      </c>
      <c r="W27" s="1574">
        <f>J27</f>
        <v>100</v>
      </c>
      <c r="X27" s="1567"/>
      <c r="Y27" s="3428"/>
      <c r="Z27" s="1575" t="str">
        <f>Q27</f>
        <v>自然及人文环境状况</v>
      </c>
      <c r="AA27" s="1576">
        <f t="shared" si="3"/>
        <v>1</v>
      </c>
      <c r="AB27" s="1576">
        <f t="shared" si="4"/>
        <v>1</v>
      </c>
      <c r="AC27" s="1576">
        <f t="shared" si="5"/>
        <v>1</v>
      </c>
    </row>
    <row r="28" spans="1:29" ht="20.25">
      <c r="A28" s="515"/>
      <c r="B28" s="566"/>
      <c r="C28" s="554" t="s">
        <v>3394</v>
      </c>
      <c r="D28" s="557"/>
      <c r="E28" s="554" t="s">
        <v>3394</v>
      </c>
      <c r="F28" s="555"/>
      <c r="G28" s="554" t="s">
        <v>3394</v>
      </c>
      <c r="H28" s="555"/>
      <c r="I28" s="554" t="s">
        <v>3394</v>
      </c>
      <c r="J28" s="555"/>
      <c r="K28" s="531"/>
      <c r="L28" s="2143"/>
      <c r="M28" s="2133"/>
      <c r="N28" s="2133"/>
      <c r="O28" s="2142"/>
      <c r="P28" s="3428"/>
      <c r="Q28" s="1572"/>
      <c r="R28" s="1573"/>
      <c r="S28" s="1574"/>
      <c r="T28" s="1573"/>
      <c r="U28" s="1574"/>
      <c r="V28" s="1573"/>
      <c r="W28" s="1574"/>
      <c r="X28" s="1567"/>
      <c r="Y28" s="3428"/>
      <c r="Z28" s="1575"/>
      <c r="AA28" s="1576">
        <v>1</v>
      </c>
      <c r="AB28" s="1576">
        <v>1</v>
      </c>
      <c r="AC28" s="1576">
        <v>1</v>
      </c>
    </row>
    <row r="29" spans="1:29" s="1220" customFormat="1" ht="20.25">
      <c r="A29" s="577"/>
      <c r="B29" s="2592" t="s">
        <v>2548</v>
      </c>
      <c r="C29" s="573" t="str">
        <f>估价对象房地状况!C21</f>
        <v>较好</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6"/>
      <c r="M29" s="2133"/>
      <c r="N29" s="2133"/>
      <c r="O29" s="2138"/>
      <c r="P29" s="3428"/>
      <c r="Q29" s="1151" t="str">
        <f t="shared" si="8"/>
        <v>公共配套设施</v>
      </c>
      <c r="R29" s="1568" t="s">
        <v>8</v>
      </c>
      <c r="S29" s="1569">
        <f>F29</f>
        <v>100</v>
      </c>
      <c r="T29" s="1568" t="s">
        <v>8</v>
      </c>
      <c r="U29" s="1569">
        <f>H29</f>
        <v>100</v>
      </c>
      <c r="V29" s="1568" t="s">
        <v>8</v>
      </c>
      <c r="W29" s="1569">
        <f>J29</f>
        <v>100</v>
      </c>
      <c r="X29" s="1570"/>
      <c r="Y29" s="3428"/>
      <c r="Z29" s="1150" t="str">
        <f>Q29</f>
        <v>公共配套设施</v>
      </c>
      <c r="AA29" s="1576">
        <f>D29/F29</f>
        <v>1</v>
      </c>
      <c r="AB29" s="1576">
        <f>D29/H29</f>
        <v>1</v>
      </c>
      <c r="AC29" s="1576">
        <f>D29/J29</f>
        <v>1</v>
      </c>
    </row>
    <row r="30" spans="1:29" s="1220" customFormat="1" ht="20.25">
      <c r="A30" s="577"/>
      <c r="B30" s="566"/>
      <c r="C30" s="579" t="s">
        <v>3394</v>
      </c>
      <c r="D30" s="557"/>
      <c r="E30" s="579" t="s">
        <v>3394</v>
      </c>
      <c r="F30" s="555"/>
      <c r="G30" s="579" t="s">
        <v>3394</v>
      </c>
      <c r="H30" s="555"/>
      <c r="I30" s="579" t="s">
        <v>3394</v>
      </c>
      <c r="J30" s="555"/>
      <c r="K30" s="531"/>
      <c r="L30" s="2136"/>
      <c r="M30" s="2133"/>
      <c r="N30" s="2133"/>
      <c r="O30" s="2138"/>
      <c r="P30" s="3428"/>
      <c r="Q30" s="1151"/>
      <c r="R30" s="1568"/>
      <c r="S30" s="1569"/>
      <c r="T30" s="1568"/>
      <c r="U30" s="1569"/>
      <c r="V30" s="1568"/>
      <c r="W30" s="1569"/>
      <c r="X30" s="1570"/>
      <c r="Y30" s="3428"/>
      <c r="Z30" s="1150"/>
      <c r="AA30" s="1576">
        <v>1</v>
      </c>
      <c r="AB30" s="1576">
        <v>1</v>
      </c>
      <c r="AC30" s="1576">
        <v>1</v>
      </c>
    </row>
    <row r="31" spans="1:29" s="1220" customFormat="1" ht="20.25">
      <c r="A31" s="577"/>
      <c r="B31" s="2592" t="s">
        <v>2549</v>
      </c>
      <c r="C31" s="573" t="str">
        <f>估价对象房地状况!C22</f>
        <v>七通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428"/>
      <c r="Q31" s="2579" t="str">
        <f t="shared" ref="Q31" si="9">B31</f>
        <v>基础设施水平</v>
      </c>
      <c r="R31" s="1568" t="s">
        <v>8</v>
      </c>
      <c r="S31" s="1569">
        <f>F31</f>
        <v>100</v>
      </c>
      <c r="T31" s="1568" t="s">
        <v>8</v>
      </c>
      <c r="U31" s="1569">
        <f>H31</f>
        <v>100</v>
      </c>
      <c r="V31" s="1568" t="s">
        <v>8</v>
      </c>
      <c r="W31" s="1569">
        <f>J31</f>
        <v>100</v>
      </c>
      <c r="X31" s="1570"/>
      <c r="Y31" s="3428"/>
      <c r="Z31" s="2576" t="str">
        <f>Q31</f>
        <v>基础设施水平</v>
      </c>
      <c r="AA31" s="1576">
        <f>D31/F31</f>
        <v>1</v>
      </c>
      <c r="AB31" s="1576">
        <f>D31/H31</f>
        <v>1</v>
      </c>
      <c r="AC31" s="1576">
        <f>D31/J31</f>
        <v>1</v>
      </c>
    </row>
    <row r="32" spans="1:29" s="1220" customFormat="1" ht="20.25">
      <c r="A32" s="577"/>
      <c r="B32" s="566"/>
      <c r="C32" s="579" t="s">
        <v>3388</v>
      </c>
      <c r="D32" s="557"/>
      <c r="E32" s="579" t="s">
        <v>3388</v>
      </c>
      <c r="F32" s="555"/>
      <c r="G32" s="579" t="s">
        <v>3388</v>
      </c>
      <c r="H32" s="555"/>
      <c r="I32" s="579" t="s">
        <v>3388</v>
      </c>
      <c r="J32" s="555"/>
      <c r="K32" s="531"/>
      <c r="L32" s="2136"/>
      <c r="M32" s="2133"/>
      <c r="N32" s="2133"/>
      <c r="O32" s="2138"/>
      <c r="P32" s="3428"/>
      <c r="Q32" s="2579"/>
      <c r="R32" s="1568"/>
      <c r="S32" s="1569"/>
      <c r="T32" s="1568"/>
      <c r="U32" s="1569"/>
      <c r="V32" s="1568"/>
      <c r="W32" s="1569"/>
      <c r="X32" s="1570"/>
      <c r="Y32" s="3428"/>
      <c r="Z32" s="2576"/>
      <c r="AA32" s="1576">
        <v>1</v>
      </c>
      <c r="AB32" s="1576">
        <v>1</v>
      </c>
      <c r="AC32" s="1576">
        <v>1</v>
      </c>
    </row>
    <row r="33" spans="1:29" ht="20.25">
      <c r="A33" s="532"/>
      <c r="B33" s="566" t="s">
        <v>547</v>
      </c>
      <c r="C33" s="580" t="s">
        <v>3403</v>
      </c>
      <c r="D33" s="575">
        <v>100</v>
      </c>
      <c r="E33" s="580" t="s">
        <v>3407</v>
      </c>
      <c r="F33" s="540">
        <f>SUMIF(106:106,E33,107:107)-SUMIF(106:106,C33,107:107)+100</f>
        <v>98</v>
      </c>
      <c r="G33" s="580" t="s">
        <v>3403</v>
      </c>
      <c r="H33" s="540">
        <f>SUMIF(106:106,G33,107:107)-SUMIF(106:106,C33,107:107)+100</f>
        <v>100</v>
      </c>
      <c r="I33" s="580" t="s">
        <v>3403</v>
      </c>
      <c r="J33" s="540">
        <f>SUMIF(106:106,I33,107:107)-SUMIF(106:106,C33,107:107)+100</f>
        <v>100</v>
      </c>
      <c r="K33" s="535">
        <v>2</v>
      </c>
      <c r="L33" s="2143"/>
      <c r="M33" s="2133"/>
      <c r="N33" s="2133"/>
      <c r="O33" s="2142"/>
      <c r="P33" s="3428"/>
      <c r="Q33" s="1572" t="str">
        <f t="shared" si="8"/>
        <v>临街状况</v>
      </c>
      <c r="R33" s="1573" t="s">
        <v>8</v>
      </c>
      <c r="S33" s="1574">
        <f t="shared" ref="S33:S47" si="10">F33</f>
        <v>98</v>
      </c>
      <c r="T33" s="1573" t="s">
        <v>8</v>
      </c>
      <c r="U33" s="1574">
        <f t="shared" ref="U33:U47" si="11">H33</f>
        <v>100</v>
      </c>
      <c r="V33" s="1573" t="s">
        <v>8</v>
      </c>
      <c r="W33" s="1574">
        <f t="shared" ref="W33:W47" si="12">J33</f>
        <v>100</v>
      </c>
      <c r="X33" s="1567"/>
      <c r="Y33" s="3428"/>
      <c r="Z33" s="1575" t="str">
        <f t="shared" ref="Z33:Z47" si="13">Q33</f>
        <v>临街状况</v>
      </c>
      <c r="AA33" s="1576">
        <f t="shared" si="3"/>
        <v>1.0204081632653061</v>
      </c>
      <c r="AB33" s="1576">
        <f t="shared" si="4"/>
        <v>1</v>
      </c>
      <c r="AC33" s="1576">
        <f t="shared" si="5"/>
        <v>1</v>
      </c>
    </row>
    <row r="34" spans="1:29" ht="27">
      <c r="A34" s="532"/>
      <c r="B34" s="578" t="s">
        <v>548</v>
      </c>
      <c r="C34" s="562"/>
      <c r="D34" s="563">
        <v>100</v>
      </c>
      <c r="E34" s="564"/>
      <c r="F34" s="559">
        <f>SUMIF(108:108,E35,109:109)-SUMIF(108:108,C35,109:109)+100</f>
        <v>98</v>
      </c>
      <c r="G34" s="562"/>
      <c r="H34" s="559">
        <f>SUMIF(108:108,G35,109:109)-SUMIF(108:108,C35,109:109)+100</f>
        <v>94</v>
      </c>
      <c r="I34" s="564"/>
      <c r="J34" s="559">
        <f>SUMIF(108:108,I35,109:109)-SUMIF(108:108,C35,109:109)+100</f>
        <v>96</v>
      </c>
      <c r="K34" s="535">
        <v>2</v>
      </c>
      <c r="L34" s="2143"/>
      <c r="M34" s="2133"/>
      <c r="N34" s="2133"/>
      <c r="O34" s="2142"/>
      <c r="P34" s="3428"/>
      <c r="Q34" s="1572" t="str">
        <f t="shared" si="8"/>
        <v>毗邻道路的类型与等级</v>
      </c>
      <c r="R34" s="1573" t="s">
        <v>8</v>
      </c>
      <c r="S34" s="1574">
        <f t="shared" si="10"/>
        <v>98</v>
      </c>
      <c r="T34" s="1573" t="s">
        <v>8</v>
      </c>
      <c r="U34" s="1574">
        <f t="shared" si="11"/>
        <v>94</v>
      </c>
      <c r="V34" s="1573" t="s">
        <v>8</v>
      </c>
      <c r="W34" s="1574">
        <f t="shared" si="12"/>
        <v>96</v>
      </c>
      <c r="X34" s="1567"/>
      <c r="Y34" s="3428"/>
      <c r="Z34" s="1575" t="str">
        <f t="shared" si="13"/>
        <v>毗邻道路的类型与等级</v>
      </c>
      <c r="AA34" s="1576">
        <f t="shared" si="3"/>
        <v>1.0204081632653061</v>
      </c>
      <c r="AB34" s="1576">
        <f t="shared" si="4"/>
        <v>1.0638297872340425</v>
      </c>
      <c r="AC34" s="1576">
        <f t="shared" si="5"/>
        <v>1.0416666666666667</v>
      </c>
    </row>
    <row r="35" spans="1:29" ht="21" thickBot="1">
      <c r="A35" s="532"/>
      <c r="B35" s="566"/>
      <c r="C35" s="554" t="s">
        <v>3370</v>
      </c>
      <c r="D35" s="557"/>
      <c r="E35" s="554" t="s">
        <v>3372</v>
      </c>
      <c r="F35" s="555"/>
      <c r="G35" s="554" t="s">
        <v>3376</v>
      </c>
      <c r="H35" s="555"/>
      <c r="I35" s="554" t="s">
        <v>3374</v>
      </c>
      <c r="J35" s="555"/>
      <c r="K35" s="581"/>
      <c r="L35" s="2143"/>
      <c r="M35" s="2133"/>
      <c r="N35" s="2133"/>
      <c r="O35" s="2142"/>
      <c r="P35" s="3428"/>
      <c r="Q35" s="1572"/>
      <c r="R35" s="1573"/>
      <c r="S35" s="1574"/>
      <c r="T35" s="1573"/>
      <c r="U35" s="1574"/>
      <c r="V35" s="1573"/>
      <c r="W35" s="1574"/>
      <c r="X35" s="1567"/>
      <c r="Y35" s="3428"/>
      <c r="Z35" s="1575"/>
      <c r="AA35" s="1576">
        <v>1</v>
      </c>
      <c r="AB35" s="1576">
        <v>1</v>
      </c>
      <c r="AC35" s="1576">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28"/>
      <c r="Q36" s="1572" t="str">
        <f t="shared" si="8"/>
        <v>土地级别</v>
      </c>
      <c r="R36" s="1573" t="s">
        <v>8</v>
      </c>
      <c r="S36" s="1574">
        <f t="shared" si="10"/>
        <v>100</v>
      </c>
      <c r="T36" s="1573" t="s">
        <v>8</v>
      </c>
      <c r="U36" s="1574">
        <f t="shared" si="11"/>
        <v>100</v>
      </c>
      <c r="V36" s="1573" t="s">
        <v>8</v>
      </c>
      <c r="W36" s="1574">
        <f t="shared" si="12"/>
        <v>100</v>
      </c>
      <c r="X36" s="1567"/>
      <c r="Y36" s="3428"/>
      <c r="Z36" s="1575" t="str">
        <f t="shared" si="13"/>
        <v>土地级别</v>
      </c>
      <c r="AA36" s="1576">
        <f t="shared" si="3"/>
        <v>1</v>
      </c>
      <c r="AB36" s="1576">
        <f t="shared" si="4"/>
        <v>1</v>
      </c>
      <c r="AC36" s="1576">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28"/>
      <c r="Q37" s="1572">
        <f t="shared" si="8"/>
        <v>111</v>
      </c>
      <c r="R37" s="1573" t="s">
        <v>8</v>
      </c>
      <c r="S37" s="1574">
        <f t="shared" si="10"/>
        <v>100</v>
      </c>
      <c r="T37" s="1573" t="s">
        <v>8</v>
      </c>
      <c r="U37" s="1574">
        <f t="shared" si="11"/>
        <v>100</v>
      </c>
      <c r="V37" s="1573" t="s">
        <v>8</v>
      </c>
      <c r="W37" s="1574">
        <f t="shared" si="12"/>
        <v>100</v>
      </c>
      <c r="X37" s="1567"/>
      <c r="Y37" s="3428"/>
      <c r="Z37" s="1575">
        <f t="shared" si="13"/>
        <v>111</v>
      </c>
      <c r="AA37" s="1576">
        <f t="shared" si="3"/>
        <v>1</v>
      </c>
      <c r="AB37" s="1576">
        <f t="shared" si="4"/>
        <v>1</v>
      </c>
      <c r="AC37" s="1576">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29" t="s">
        <v>550</v>
      </c>
      <c r="Q38" s="1572">
        <f t="shared" si="8"/>
        <v>111</v>
      </c>
      <c r="R38" s="1573" t="s">
        <v>8</v>
      </c>
      <c r="S38" s="1574">
        <f t="shared" si="10"/>
        <v>100</v>
      </c>
      <c r="T38" s="1573" t="s">
        <v>8</v>
      </c>
      <c r="U38" s="1574">
        <f t="shared" si="11"/>
        <v>100</v>
      </c>
      <c r="V38" s="1573" t="s">
        <v>8</v>
      </c>
      <c r="W38" s="1574">
        <f t="shared" si="12"/>
        <v>100</v>
      </c>
      <c r="X38" s="1567"/>
      <c r="Y38" s="3430" t="s">
        <v>550</v>
      </c>
      <c r="Z38" s="1575">
        <f t="shared" si="13"/>
        <v>111</v>
      </c>
      <c r="AA38" s="1576">
        <f t="shared" si="3"/>
        <v>1</v>
      </c>
      <c r="AB38" s="1576">
        <f t="shared" si="4"/>
        <v>1</v>
      </c>
      <c r="AC38" s="1576">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30"/>
      <c r="Q39" s="1572">
        <f t="shared" si="8"/>
        <v>111</v>
      </c>
      <c r="R39" s="1577" t="s">
        <v>8</v>
      </c>
      <c r="S39" s="1578">
        <f t="shared" si="10"/>
        <v>100</v>
      </c>
      <c r="T39" s="1577" t="s">
        <v>8</v>
      </c>
      <c r="U39" s="1578">
        <f t="shared" si="11"/>
        <v>100</v>
      </c>
      <c r="V39" s="1577" t="s">
        <v>8</v>
      </c>
      <c r="W39" s="1578">
        <f t="shared" si="12"/>
        <v>100</v>
      </c>
      <c r="X39" s="1579"/>
      <c r="Y39" s="3430"/>
      <c r="Z39" s="1580">
        <f t="shared" si="13"/>
        <v>111</v>
      </c>
      <c r="AA39" s="1576">
        <f t="shared" si="3"/>
        <v>1</v>
      </c>
      <c r="AB39" s="1576">
        <f t="shared" si="4"/>
        <v>1</v>
      </c>
      <c r="AC39" s="1576">
        <f t="shared" si="5"/>
        <v>1</v>
      </c>
    </row>
    <row r="40" spans="1:29" ht="20.25">
      <c r="A40" s="2908" t="s">
        <v>2754</v>
      </c>
      <c r="B40" s="595" t="s">
        <v>552</v>
      </c>
      <c r="C40" s="596">
        <f>'数据-基础表'!A3</f>
        <v>21171.5</v>
      </c>
      <c r="D40" s="597">
        <v>100</v>
      </c>
      <c r="E40" s="596">
        <f>Sheet1!J2</f>
        <v>39410.74</v>
      </c>
      <c r="F40" s="597">
        <f>LOOKUP(E40,119:119,120:120)-LOOKUP(C40,119:119,120:120)+100</f>
        <v>100</v>
      </c>
      <c r="G40" s="596">
        <f>Sheet1!J3</f>
        <v>27295.08</v>
      </c>
      <c r="H40" s="597">
        <f>LOOKUP(G40,119:119,120:120)-LOOKUP(C40,119:119,120:120)+100</f>
        <v>100</v>
      </c>
      <c r="I40" s="598">
        <f>Sheet1!J4</f>
        <v>29500</v>
      </c>
      <c r="J40" s="597">
        <f>LOOKUP(I40,119:119,120:120)-LOOKUP(C40,119:119,120:120)+100</f>
        <v>100</v>
      </c>
      <c r="K40" s="581"/>
      <c r="L40" s="2143"/>
      <c r="M40" s="2133"/>
      <c r="N40" s="2133"/>
      <c r="O40" s="2142"/>
      <c r="P40" s="3430"/>
      <c r="Q40" s="1572" t="str">
        <f>B40</f>
        <v>宗地面积</v>
      </c>
      <c r="R40" s="1573" t="s">
        <v>8</v>
      </c>
      <c r="S40" s="1574">
        <f t="shared" si="10"/>
        <v>100</v>
      </c>
      <c r="T40" s="1573" t="s">
        <v>8</v>
      </c>
      <c r="U40" s="1574">
        <f t="shared" si="11"/>
        <v>100</v>
      </c>
      <c r="V40" s="1573" t="s">
        <v>8</v>
      </c>
      <c r="W40" s="1574">
        <f t="shared" si="12"/>
        <v>100</v>
      </c>
      <c r="X40" s="1567"/>
      <c r="Y40" s="3430"/>
      <c r="Z40" s="1575" t="str">
        <f t="shared" si="13"/>
        <v>宗地面积</v>
      </c>
      <c r="AA40" s="1576">
        <f t="shared" si="3"/>
        <v>1</v>
      </c>
      <c r="AB40" s="1576">
        <f t="shared" si="4"/>
        <v>1</v>
      </c>
      <c r="AC40" s="1576">
        <f t="shared" si="5"/>
        <v>1</v>
      </c>
    </row>
    <row r="41" spans="1:29" ht="20.25">
      <c r="A41" s="594"/>
      <c r="B41" s="527" t="s">
        <v>553</v>
      </c>
      <c r="C41" s="599" t="s">
        <v>3379</v>
      </c>
      <c r="D41" s="540">
        <v>100</v>
      </c>
      <c r="E41" s="599" t="s">
        <v>3379</v>
      </c>
      <c r="F41" s="540">
        <f>SUMIF(121:121,E41,122:122)-SUMIF(121:121,C41,122:122)+100</f>
        <v>100</v>
      </c>
      <c r="G41" s="599" t="s">
        <v>3379</v>
      </c>
      <c r="H41" s="540">
        <f>SUMIF(121:121,G41,122:122)-SUMIF(121:121,C41,122:122)+100</f>
        <v>100</v>
      </c>
      <c r="I41" s="599" t="s">
        <v>3379</v>
      </c>
      <c r="J41" s="540">
        <f>SUMIF(121:121,I41,122:122)-SUMIF(121:121,C41,122:122)+100</f>
        <v>100</v>
      </c>
      <c r="K41" s="584">
        <v>2</v>
      </c>
      <c r="L41" s="2143"/>
      <c r="M41" s="2133"/>
      <c r="N41" s="2133"/>
      <c r="O41" s="2142"/>
      <c r="P41" s="3430"/>
      <c r="Q41" s="1572" t="str">
        <f t="shared" ref="Q41:Q47" si="14">B41</f>
        <v>宗地形状</v>
      </c>
      <c r="R41" s="1573" t="s">
        <v>8</v>
      </c>
      <c r="S41" s="1574">
        <f t="shared" si="10"/>
        <v>100</v>
      </c>
      <c r="T41" s="1573" t="s">
        <v>8</v>
      </c>
      <c r="U41" s="1574">
        <f t="shared" si="11"/>
        <v>100</v>
      </c>
      <c r="V41" s="1573" t="s">
        <v>8</v>
      </c>
      <c r="W41" s="1574">
        <f t="shared" si="12"/>
        <v>100</v>
      </c>
      <c r="X41" s="1567"/>
      <c r="Y41" s="3430"/>
      <c r="Z41" s="1575" t="str">
        <f t="shared" si="13"/>
        <v>宗地形状</v>
      </c>
      <c r="AA41" s="1576">
        <f t="shared" si="3"/>
        <v>1</v>
      </c>
      <c r="AB41" s="1576">
        <f t="shared" si="4"/>
        <v>1</v>
      </c>
      <c r="AC41" s="1576">
        <f t="shared" si="5"/>
        <v>1</v>
      </c>
    </row>
    <row r="42" spans="1:29" ht="20.25">
      <c r="A42" s="594"/>
      <c r="B42" s="527" t="s">
        <v>554</v>
      </c>
      <c r="C42" s="599" t="s">
        <v>3384</v>
      </c>
      <c r="D42" s="540">
        <v>100</v>
      </c>
      <c r="E42" s="599" t="s">
        <v>3384</v>
      </c>
      <c r="F42" s="540">
        <f>SUMIF(123:123,E42,124:124)-SUMIF(123:123,C42,124:124)+100</f>
        <v>100</v>
      </c>
      <c r="G42" s="599" t="s">
        <v>3384</v>
      </c>
      <c r="H42" s="540">
        <f>SUMIF(123:123,G42,124:124)-SUMIF(123:123,C42,124:124)+100</f>
        <v>100</v>
      </c>
      <c r="I42" s="599" t="s">
        <v>3384</v>
      </c>
      <c r="J42" s="540">
        <f>SUMIF(123:123,I42,124:124)-SUMIF(123:123,C42,124:124)+100</f>
        <v>100</v>
      </c>
      <c r="K42" s="584">
        <v>2</v>
      </c>
      <c r="L42" s="2143"/>
      <c r="M42" s="2133"/>
      <c r="N42" s="2133"/>
      <c r="O42" s="2142"/>
      <c r="P42" s="3430"/>
      <c r="Q42" s="1572" t="str">
        <f t="shared" si="14"/>
        <v>临街宽度及深度</v>
      </c>
      <c r="R42" s="1573" t="s">
        <v>8</v>
      </c>
      <c r="S42" s="1574">
        <f t="shared" si="10"/>
        <v>100</v>
      </c>
      <c r="T42" s="1573" t="s">
        <v>8</v>
      </c>
      <c r="U42" s="1574">
        <f t="shared" si="11"/>
        <v>100</v>
      </c>
      <c r="V42" s="1573" t="s">
        <v>8</v>
      </c>
      <c r="W42" s="1574">
        <f t="shared" si="12"/>
        <v>100</v>
      </c>
      <c r="X42" s="1567"/>
      <c r="Y42" s="3430"/>
      <c r="Z42" s="1575" t="str">
        <f t="shared" si="13"/>
        <v>临街宽度及深度</v>
      </c>
      <c r="AA42" s="1576">
        <f t="shared" si="3"/>
        <v>1</v>
      </c>
      <c r="AB42" s="1576">
        <f t="shared" si="4"/>
        <v>1</v>
      </c>
      <c r="AC42" s="1576">
        <f t="shared" si="5"/>
        <v>1</v>
      </c>
    </row>
    <row r="43" spans="1:29" s="1220" customFormat="1" ht="20.25">
      <c r="A43" s="600"/>
      <c r="B43" s="1896" t="s">
        <v>2424</v>
      </c>
      <c r="C43" s="601" t="s">
        <v>3388</v>
      </c>
      <c r="D43" s="255">
        <v>100</v>
      </c>
      <c r="E43" s="601" t="s">
        <v>3392</v>
      </c>
      <c r="F43" s="540">
        <f>SUMIF(125:125,E43,126:126)-SUMIF(125:125,C43,126:126)+100</f>
        <v>96</v>
      </c>
      <c r="G43" s="601" t="s">
        <v>3392</v>
      </c>
      <c r="H43" s="540">
        <f>SUMIF(125:125,G43,126:126)-SUMIF(125:125,C43,126:126)+100</f>
        <v>96</v>
      </c>
      <c r="I43" s="601" t="s">
        <v>3390</v>
      </c>
      <c r="J43" s="540">
        <f>SUMIF(125:125,I43,126:126)-SUMIF(125:125,C43,126:126)+100</f>
        <v>98</v>
      </c>
      <c r="K43" s="584">
        <v>1</v>
      </c>
      <c r="L43" s="2136"/>
      <c r="M43" s="2133"/>
      <c r="N43" s="2133"/>
      <c r="O43" s="2138"/>
      <c r="P43" s="3430"/>
      <c r="Q43" s="1572" t="str">
        <f t="shared" si="14"/>
        <v>宗地开发程度</v>
      </c>
      <c r="R43" s="1568" t="s">
        <v>8</v>
      </c>
      <c r="S43" s="1569">
        <f t="shared" si="10"/>
        <v>96</v>
      </c>
      <c r="T43" s="1568" t="s">
        <v>8</v>
      </c>
      <c r="U43" s="1569">
        <f t="shared" si="11"/>
        <v>96</v>
      </c>
      <c r="V43" s="1568" t="s">
        <v>8</v>
      </c>
      <c r="W43" s="1569">
        <f t="shared" si="12"/>
        <v>98</v>
      </c>
      <c r="X43" s="1570"/>
      <c r="Y43" s="3430"/>
      <c r="Z43" s="1150" t="str">
        <f t="shared" si="13"/>
        <v>宗地开发程度</v>
      </c>
      <c r="AA43" s="1571">
        <f t="shared" si="3"/>
        <v>1.0416666666666667</v>
      </c>
      <c r="AB43" s="1571">
        <f t="shared" si="4"/>
        <v>1.0416666666666667</v>
      </c>
      <c r="AC43" s="1571">
        <f t="shared" si="5"/>
        <v>1.0204081632653061</v>
      </c>
    </row>
    <row r="44" spans="1:29" ht="21" thickBot="1">
      <c r="A44" s="594"/>
      <c r="B44" s="527" t="s">
        <v>555</v>
      </c>
      <c r="C44" s="599" t="s">
        <v>3394</v>
      </c>
      <c r="D44" s="540">
        <v>100</v>
      </c>
      <c r="E44" s="599" t="s">
        <v>3394</v>
      </c>
      <c r="F44" s="540">
        <f>SUMIF(127:127,E44,128:128)-SUMIF(127:127,C44,128:128)+100</f>
        <v>100</v>
      </c>
      <c r="G44" s="599" t="s">
        <v>3394</v>
      </c>
      <c r="H44" s="540">
        <f>SUMIF(127:127,G44,128:128)-SUMIF(127:127,C44,128:128)+100</f>
        <v>100</v>
      </c>
      <c r="I44" s="599" t="s">
        <v>3394</v>
      </c>
      <c r="J44" s="540">
        <f>SUMIF(127:127,I44,128:128)-SUMIF(127:127,C44,128:128)+100</f>
        <v>100</v>
      </c>
      <c r="K44" s="584">
        <v>2</v>
      </c>
      <c r="L44" s="2143"/>
      <c r="M44" s="2133"/>
      <c r="N44" s="2133"/>
      <c r="O44" s="2142"/>
      <c r="P44" s="3430" t="s">
        <v>550</v>
      </c>
      <c r="Q44" s="1572" t="str">
        <f t="shared" si="14"/>
        <v>工程地质条件</v>
      </c>
      <c r="R44" s="1573" t="s">
        <v>8</v>
      </c>
      <c r="S44" s="1574">
        <f t="shared" si="10"/>
        <v>100</v>
      </c>
      <c r="T44" s="1573" t="s">
        <v>8</v>
      </c>
      <c r="U44" s="1574">
        <f t="shared" si="11"/>
        <v>100</v>
      </c>
      <c r="V44" s="1573" t="s">
        <v>8</v>
      </c>
      <c r="W44" s="1574">
        <f t="shared" si="12"/>
        <v>100</v>
      </c>
      <c r="X44" s="1567"/>
      <c r="Y44" s="3430" t="s">
        <v>550</v>
      </c>
      <c r="Z44" s="1575" t="str">
        <f t="shared" si="13"/>
        <v>工程地质条件</v>
      </c>
      <c r="AA44" s="1576">
        <f t="shared" si="3"/>
        <v>1</v>
      </c>
      <c r="AB44" s="1576">
        <f t="shared" si="4"/>
        <v>1</v>
      </c>
      <c r="AC44" s="1576">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30"/>
      <c r="Q45" s="1572">
        <f t="shared" si="14"/>
        <v>111</v>
      </c>
      <c r="R45" s="1573" t="s">
        <v>8</v>
      </c>
      <c r="S45" s="1574">
        <f t="shared" si="10"/>
        <v>100</v>
      </c>
      <c r="T45" s="1573" t="s">
        <v>8</v>
      </c>
      <c r="U45" s="1574">
        <f t="shared" si="11"/>
        <v>100</v>
      </c>
      <c r="V45" s="1573" t="s">
        <v>8</v>
      </c>
      <c r="W45" s="1574">
        <f t="shared" si="12"/>
        <v>100</v>
      </c>
      <c r="X45" s="1567"/>
      <c r="Y45" s="3430"/>
      <c r="Z45" s="1575">
        <f t="shared" si="13"/>
        <v>111</v>
      </c>
      <c r="AA45" s="1576">
        <f t="shared" si="3"/>
        <v>1</v>
      </c>
      <c r="AB45" s="1576">
        <f t="shared" si="4"/>
        <v>1</v>
      </c>
      <c r="AC45" s="1576">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30"/>
      <c r="Q46" s="1572">
        <f t="shared" si="14"/>
        <v>111</v>
      </c>
      <c r="R46" s="1573" t="s">
        <v>8</v>
      </c>
      <c r="S46" s="1574">
        <f t="shared" si="10"/>
        <v>100</v>
      </c>
      <c r="T46" s="1573" t="s">
        <v>8</v>
      </c>
      <c r="U46" s="1574">
        <f t="shared" si="11"/>
        <v>100</v>
      </c>
      <c r="V46" s="1573" t="s">
        <v>8</v>
      </c>
      <c r="W46" s="1574">
        <f t="shared" si="12"/>
        <v>100</v>
      </c>
      <c r="X46" s="1567"/>
      <c r="Y46" s="3430"/>
      <c r="Z46" s="1575">
        <f t="shared" si="13"/>
        <v>111</v>
      </c>
      <c r="AA46" s="1576">
        <f t="shared" si="3"/>
        <v>1</v>
      </c>
      <c r="AB46" s="1576">
        <f t="shared" si="4"/>
        <v>1</v>
      </c>
      <c r="AC46" s="1576">
        <f t="shared" si="5"/>
        <v>1</v>
      </c>
    </row>
    <row r="47" spans="1:29" s="1339"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30"/>
      <c r="Q47" s="1572">
        <f t="shared" si="14"/>
        <v>111</v>
      </c>
      <c r="R47" s="1577" t="s">
        <v>8</v>
      </c>
      <c r="S47" s="1578">
        <f t="shared" si="10"/>
        <v>100</v>
      </c>
      <c r="T47" s="1577" t="s">
        <v>8</v>
      </c>
      <c r="U47" s="1578">
        <f t="shared" si="11"/>
        <v>100</v>
      </c>
      <c r="V47" s="1577" t="s">
        <v>8</v>
      </c>
      <c r="W47" s="1578">
        <f t="shared" si="12"/>
        <v>100</v>
      </c>
      <c r="X47" s="1579"/>
      <c r="Y47" s="3430"/>
      <c r="Z47" s="1580">
        <f t="shared" si="13"/>
        <v>111</v>
      </c>
      <c r="AA47" s="1576">
        <f t="shared" si="3"/>
        <v>1</v>
      </c>
      <c r="AB47" s="1576">
        <f t="shared" si="4"/>
        <v>1</v>
      </c>
      <c r="AC47" s="1576">
        <f t="shared" si="5"/>
        <v>1</v>
      </c>
    </row>
    <row r="48" spans="1:29" ht="20.25">
      <c r="A48" s="607" t="s">
        <v>556</v>
      </c>
      <c r="B48" s="608" t="s">
        <v>3404</v>
      </c>
      <c r="C48" s="609" t="s">
        <v>1</v>
      </c>
      <c r="D48" s="610"/>
      <c r="E48" s="611">
        <f>ROUND(Sheet1!AK2,0)</f>
        <v>26563</v>
      </c>
      <c r="F48" s="612"/>
      <c r="G48" s="613">
        <f>ROUND(Sheet1!AK3,0)</f>
        <v>27125</v>
      </c>
      <c r="H48" s="614"/>
      <c r="I48" s="611">
        <f>ROUND(Sheet1!AK4,0)</f>
        <v>28983</v>
      </c>
      <c r="J48" s="614"/>
      <c r="K48" s="1340"/>
      <c r="L48" s="2145"/>
      <c r="M48" s="2133"/>
      <c r="N48" s="2133"/>
      <c r="O48" s="2146"/>
      <c r="P48" s="3394" t="str">
        <f>A48</f>
        <v>成交单价</v>
      </c>
      <c r="Q48" s="3394"/>
      <c r="R48" s="3395">
        <f>E48</f>
        <v>26563</v>
      </c>
      <c r="S48" s="3395"/>
      <c r="T48" s="3395">
        <f>G48</f>
        <v>27125</v>
      </c>
      <c r="U48" s="3395"/>
      <c r="V48" s="3395">
        <f>I48</f>
        <v>28983</v>
      </c>
      <c r="W48" s="3395"/>
      <c r="X48" s="1559"/>
      <c r="Y48" s="1581"/>
      <c r="Z48" s="1559"/>
      <c r="AA48" s="1559"/>
      <c r="AB48" s="1559"/>
      <c r="AC48" s="1559"/>
    </row>
    <row r="49" spans="1:29" ht="21" thickBot="1">
      <c r="A49" s="615" t="s">
        <v>2692</v>
      </c>
      <c r="B49" s="616"/>
      <c r="C49" s="617">
        <f>R50</f>
        <v>32567</v>
      </c>
      <c r="D49" s="618"/>
      <c r="E49" s="617">
        <f>R49</f>
        <v>29321</v>
      </c>
      <c r="F49" s="619"/>
      <c r="G49" s="620">
        <f>T49</f>
        <v>33263</v>
      </c>
      <c r="H49" s="618"/>
      <c r="I49" s="617">
        <f>V49</f>
        <v>35118</v>
      </c>
      <c r="J49" s="618"/>
      <c r="K49" s="1341"/>
      <c r="L49" s="2145"/>
      <c r="M49" s="2133"/>
      <c r="N49" s="2133"/>
      <c r="O49" s="2146"/>
      <c r="P49" s="3394" t="str">
        <f>A49</f>
        <v>比较价格（元/平方米）</v>
      </c>
      <c r="Q49" s="3394"/>
      <c r="R49" s="3396">
        <f>ROUND(PRODUCT(R48,AA9:AA47),0)</f>
        <v>29321</v>
      </c>
      <c r="S49" s="3396"/>
      <c r="T49" s="3396">
        <f>ROUND(PRODUCT(T48,AB9:AB47),0)</f>
        <v>33263</v>
      </c>
      <c r="U49" s="3396"/>
      <c r="V49" s="3396">
        <f>ROUND(PRODUCT(V48,AC9:AC47),0)</f>
        <v>35118</v>
      </c>
      <c r="W49" s="3396"/>
      <c r="X49" s="1559"/>
      <c r="Y49" s="1559"/>
      <c r="Z49" s="1559"/>
      <c r="AA49" s="1559"/>
      <c r="AB49" s="1559"/>
      <c r="AC49" s="1559"/>
    </row>
    <row r="50" spans="1:29" ht="21" thickBot="1">
      <c r="A50" s="621" t="s">
        <v>2928</v>
      </c>
      <c r="B50" s="622"/>
      <c r="C50" s="623">
        <f>R50</f>
        <v>32567</v>
      </c>
      <c r="D50" s="623"/>
      <c r="E50" s="623"/>
      <c r="F50" s="623"/>
      <c r="G50" s="623"/>
      <c r="H50" s="623"/>
      <c r="I50" s="623"/>
      <c r="J50" s="623"/>
      <c r="K50" s="1342"/>
      <c r="L50" s="2145"/>
      <c r="M50" s="2133"/>
      <c r="N50" s="2133"/>
      <c r="O50" s="2146"/>
      <c r="P50" s="3391" t="str">
        <f>A50</f>
        <v>估价对象XX用房的比较价格（楼面单价，元/平方米）</v>
      </c>
      <c r="Q50" s="3392"/>
      <c r="R50" s="3393">
        <f>ROUND(AVERAGE(R49:V49),0)</f>
        <v>32567</v>
      </c>
      <c r="S50" s="3393"/>
      <c r="T50" s="3393"/>
      <c r="U50" s="3393"/>
      <c r="V50" s="3393"/>
      <c r="W50" s="3393"/>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0.1038286338139518</v>
      </c>
      <c r="F53" s="627" t="str">
        <f>IF(OR(E53&gt;=0.3,E53&lt;=-0.3),"超过30%","")</f>
        <v/>
      </c>
      <c r="G53" s="626">
        <f>IF(G48&lt;G49,G49/G48-1,G48/G49-1)</f>
        <v>0.2262857142857142</v>
      </c>
      <c r="H53" s="627" t="str">
        <f>IF(OR(G53&gt;=0.3,G53&lt;=-0.3),"超过30%","")</f>
        <v/>
      </c>
      <c r="I53" s="626">
        <f>IF(I48&lt;I49,I49/I48-1,I48/I49-1)</f>
        <v>0.2116758099575613</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0.13444289076088811</v>
      </c>
      <c r="F54" s="627" t="str">
        <f>IF(OR(E54&gt;=0.2,E54&lt;=-0.2),"超过20%","")</f>
        <v/>
      </c>
      <c r="G54" s="626">
        <f>IF(G49&lt;I49,I49/G49-1,G49/I49-1)</f>
        <v>5.5767669783242546E-2</v>
      </c>
      <c r="H54" s="627" t="str">
        <f>IF(OR(G54&gt;=0.2,G54&lt;=-0.2),"超过20%","")</f>
        <v/>
      </c>
      <c r="I54" s="626">
        <f>IF(I49&lt;E49,E49/I49-1,I49/E49-1)</f>
        <v>0.19770812728078857</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2.1157248804728468E-2</v>
      </c>
      <c r="F55" s="627" t="str">
        <f>IF(OR(E55&gt;=0.3,E55&lt;=-0.3),"超过30%","")</f>
        <v/>
      </c>
      <c r="G55" s="626">
        <f>IF(G48&lt;I48,I48/G48-1,G48/I48-1)</f>
        <v>6.8497695852534513E-2</v>
      </c>
      <c r="H55" s="627" t="str">
        <f>IF(OR(G55&gt;=0.3,G55&lt;=-0.3),"超过30%","")</f>
        <v/>
      </c>
      <c r="I55" s="626">
        <f>IF(I48&lt;E48,E48/I48-1,I48/E48-1)</f>
        <v>9.1104167450965612E-2</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560</v>
      </c>
      <c r="B57" s="630" t="s">
        <v>561</v>
      </c>
      <c r="C57" s="1560" t="s">
        <v>1724</v>
      </c>
      <c r="D57" s="2228" t="s">
        <v>2294</v>
      </c>
      <c r="E57" s="631" t="s">
        <v>562</v>
      </c>
      <c r="F57" s="632" t="s">
        <v>563</v>
      </c>
      <c r="G57" s="3419" t="s">
        <v>2282</v>
      </c>
      <c r="H57" s="3420"/>
      <c r="I57" s="1555" t="s">
        <v>1722</v>
      </c>
      <c r="J57" s="1555">
        <f>项目基本情况!F41</f>
        <v>0</v>
      </c>
      <c r="K57" s="2155" t="s">
        <v>1723</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32567</v>
      </c>
      <c r="C58" s="635">
        <v>1</v>
      </c>
      <c r="D58" s="2229">
        <v>1</v>
      </c>
      <c r="E58" s="635">
        <f>'数据-汇总表'!E8+'数据-汇总表'!E9</f>
        <v>16051</v>
      </c>
      <c r="F58" s="636">
        <f t="shared" ref="F58:F67" si="15">ROUND(B58*E58/10000,0)</f>
        <v>52273</v>
      </c>
      <c r="G58" s="3421"/>
      <c r="H58" s="3422"/>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5699</v>
      </c>
      <c r="C59" s="378">
        <f t="shared" ref="C59:C67" si="16">IF($C$57="北京市系数",I59,J59)</f>
        <v>0.7</v>
      </c>
      <c r="D59" s="2230">
        <v>0.25</v>
      </c>
      <c r="E59" s="639">
        <f>'数据-汇总表'!G22</f>
        <v>6546</v>
      </c>
      <c r="F59" s="636">
        <f t="shared" si="15"/>
        <v>3731</v>
      </c>
      <c r="G59" s="3423" t="s">
        <v>2283</v>
      </c>
      <c r="H59" s="1949" t="str">
        <f>项目基本情况!B43</f>
        <v>四级</v>
      </c>
      <c r="I59" s="1556">
        <f>SUMIF(修正!$A$45:$A$56,H59,修正!B45:B56)</f>
        <v>0.7</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3257</v>
      </c>
      <c r="C60" s="378">
        <f t="shared" si="16"/>
        <v>0.4</v>
      </c>
      <c r="D60" s="2230">
        <v>0.25</v>
      </c>
      <c r="E60" s="639">
        <v>0</v>
      </c>
      <c r="F60" s="636">
        <f t="shared" si="15"/>
        <v>0</v>
      </c>
      <c r="G60" s="3423"/>
      <c r="H60" s="1949" t="str">
        <f>项目基本情况!B43</f>
        <v>四级</v>
      </c>
      <c r="I60" s="1556">
        <f>SUMIF(修正!$A$45:$A$56,H60,修正!C45:C56)</f>
        <v>0.4</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2280</v>
      </c>
      <c r="C61" s="378">
        <f t="shared" si="16"/>
        <v>0.28000000000000003</v>
      </c>
      <c r="D61" s="2230">
        <v>0.25</v>
      </c>
      <c r="E61" s="639">
        <v>0</v>
      </c>
      <c r="F61" s="636">
        <f t="shared" si="15"/>
        <v>0</v>
      </c>
      <c r="G61" s="3423"/>
      <c r="H61" s="1949" t="str">
        <f>项目基本情况!B43</f>
        <v>四级</v>
      </c>
      <c r="I61" s="1556">
        <f>SUMIF(修正!$A$45:$A$56,H61,修正!D45:D56)</f>
        <v>0.28000000000000003</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2035</v>
      </c>
      <c r="C62" s="378">
        <f t="shared" si="16"/>
        <v>0.25</v>
      </c>
      <c r="D62" s="2230">
        <v>0.25</v>
      </c>
      <c r="E62" s="639">
        <v>0</v>
      </c>
      <c r="F62" s="636">
        <f t="shared" si="15"/>
        <v>0</v>
      </c>
      <c r="G62" s="3423"/>
      <c r="H62" s="1949" t="str">
        <f>项目基本情况!B43</f>
        <v>四级</v>
      </c>
      <c r="I62" s="1556">
        <f>SUMIF(修正!$A$45:$A$56,H62,修正!E45:E56)</f>
        <v>0.25</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2328</v>
      </c>
      <c r="B63" s="638">
        <f t="shared" si="17"/>
        <v>2035</v>
      </c>
      <c r="C63" s="378">
        <f t="shared" si="16"/>
        <v>0.25</v>
      </c>
      <c r="D63" s="2230">
        <v>0.25</v>
      </c>
      <c r="E63" s="641">
        <f>'数据-汇总表'!E11</f>
        <v>0</v>
      </c>
      <c r="F63" s="636">
        <f t="shared" si="15"/>
        <v>0</v>
      </c>
      <c r="G63" s="1946" t="s">
        <v>2284</v>
      </c>
      <c r="H63" s="1949" t="str">
        <f>项目基本情况!C43</f>
        <v>四级</v>
      </c>
      <c r="I63" s="1556">
        <f>SUMIF(修正!$A$45:$A$56,H63,修正!F45:F56)</f>
        <v>0.25</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2035</v>
      </c>
      <c r="C64" s="378">
        <f t="shared" si="16"/>
        <v>0.25</v>
      </c>
      <c r="D64" s="2230">
        <v>0.25</v>
      </c>
      <c r="E64" s="641">
        <f>'数据-汇总表'!E12</f>
        <v>0</v>
      </c>
      <c r="F64" s="636">
        <f t="shared" si="15"/>
        <v>0</v>
      </c>
      <c r="G64" s="1947" t="s">
        <v>2985</v>
      </c>
      <c r="H64" s="1945" t="str">
        <f>IF(G64="商业",项目基本情况!B43,IF(G64="办公",项目基本情况!C43,IF(G64="住宅",项目基本情况!D43,项目基本情况!E43)))</f>
        <v>四级</v>
      </c>
      <c r="I64" s="1556">
        <f>SUMIF(修正!$A$45:$A$56,H64,修正!G45:G56)</f>
        <v>0.25</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1628</v>
      </c>
      <c r="C65" s="378">
        <f t="shared" si="16"/>
        <v>0.2</v>
      </c>
      <c r="D65" s="2230">
        <v>0.25</v>
      </c>
      <c r="E65" s="641">
        <f>'数据-汇总表'!E13</f>
        <v>18791</v>
      </c>
      <c r="F65" s="636">
        <f t="shared" si="15"/>
        <v>3059</v>
      </c>
      <c r="G65" s="1947" t="s">
        <v>923</v>
      </c>
      <c r="H65" s="1945" t="str">
        <f>IF(G65="商业",项目基本情况!B43,IF(G65="办公",项目基本情况!C43,IF(G65="住宅",项目基本情况!D43,项目基本情况!E43)))</f>
        <v>四级</v>
      </c>
      <c r="I65" s="1556">
        <f>SUMIF(修正!$A$45:$A$56,H65,修正!H45:H56)</f>
        <v>0.2</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1628</v>
      </c>
      <c r="C66" s="378">
        <f t="shared" si="16"/>
        <v>0.2</v>
      </c>
      <c r="D66" s="2230">
        <v>0.25</v>
      </c>
      <c r="E66" s="641">
        <f>'数据-汇总表'!E14</f>
        <v>0</v>
      </c>
      <c r="F66" s="636">
        <f t="shared" si="15"/>
        <v>0</v>
      </c>
      <c r="G66" s="1946" t="s">
        <v>2283</v>
      </c>
      <c r="H66" s="1949" t="str">
        <f>项目基本情况!B43</f>
        <v>四级</v>
      </c>
      <c r="I66" s="1556">
        <f>SUMIF(修正!$A$45:$A$56,H66,修正!H45:H56)</f>
        <v>0.2</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1628</v>
      </c>
      <c r="C67" s="378">
        <f t="shared" si="16"/>
        <v>0.2</v>
      </c>
      <c r="D67" s="2230">
        <v>0.25</v>
      </c>
      <c r="E67" s="641">
        <f>'数据-汇总表'!E15</f>
        <v>0</v>
      </c>
      <c r="F67" s="636">
        <f t="shared" si="15"/>
        <v>0</v>
      </c>
      <c r="G67" s="1948" t="s">
        <v>2284</v>
      </c>
      <c r="H67" s="1950" t="str">
        <f>项目基本情况!C43</f>
        <v>四级</v>
      </c>
      <c r="I67" s="1556">
        <f>SUMIF(修正!$A$45:$A$56,H67,修正!H45:H56)</f>
        <v>0.2</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41388</v>
      </c>
      <c r="F68" s="644">
        <f>IF(B48="楼面地价",SUM(F58:F67),ROUND(C50*E68/10000,0))</f>
        <v>59063</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2018-10-1</v>
      </c>
      <c r="D70" s="2800">
        <f>EDATE(C70,-3)</f>
        <v>43282</v>
      </c>
      <c r="E70" s="2800">
        <f t="shared" ref="E70:N70" si="18">EDATE(D70,-3)</f>
        <v>43191</v>
      </c>
      <c r="F70" s="2800">
        <f t="shared" si="18"/>
        <v>43101</v>
      </c>
      <c r="G70" s="2800">
        <f t="shared" si="18"/>
        <v>43009</v>
      </c>
      <c r="H70" s="2800">
        <f t="shared" si="18"/>
        <v>42917</v>
      </c>
      <c r="I70" s="2800">
        <f t="shared" si="18"/>
        <v>42826</v>
      </c>
      <c r="J70" s="2800">
        <f t="shared" si="18"/>
        <v>42736</v>
      </c>
      <c r="K70" s="2800">
        <f t="shared" si="18"/>
        <v>42644</v>
      </c>
      <c r="L70" s="2800">
        <f t="shared" si="18"/>
        <v>42552</v>
      </c>
      <c r="M70" s="2800">
        <f t="shared" si="18"/>
        <v>42461</v>
      </c>
      <c r="N70" s="2800">
        <f t="shared" si="18"/>
        <v>42370</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69" t="s">
        <v>2532</v>
      </c>
      <c r="B72" s="2570"/>
      <c r="C72" s="2795" t="str">
        <f>YEAR(C70)&amp;"-"&amp;ROUNDUP(MONTH(C70)/3,0)</f>
        <v>2018-4</v>
      </c>
      <c r="D72" s="2802" t="str">
        <f>YEAR(D70)&amp;"-"&amp;ROUNDUP(MONTH(D70)/3,0)</f>
        <v>2018-3</v>
      </c>
      <c r="E72" s="2802" t="str">
        <f t="shared" ref="E72:N72" si="19">YEAR(E70)&amp;"-"&amp;ROUNDUP(MONTH(E70)/3,0)</f>
        <v>2018-2</v>
      </c>
      <c r="F72" s="2802" t="str">
        <f t="shared" si="19"/>
        <v>2018-1</v>
      </c>
      <c r="G72" s="2802" t="str">
        <f t="shared" si="19"/>
        <v>2017-4</v>
      </c>
      <c r="H72" s="2802" t="str">
        <f t="shared" si="19"/>
        <v>2017-3</v>
      </c>
      <c r="I72" s="2802" t="str">
        <f t="shared" si="19"/>
        <v>2017-2</v>
      </c>
      <c r="J72" s="2802" t="str">
        <f t="shared" si="19"/>
        <v>2017-1</v>
      </c>
      <c r="K72" s="2802" t="str">
        <f t="shared" si="19"/>
        <v>2016-4</v>
      </c>
      <c r="L72" s="2802" t="str">
        <f t="shared" si="19"/>
        <v>2016-3</v>
      </c>
      <c r="M72" s="2802" t="str">
        <f t="shared" si="19"/>
        <v>2016-2</v>
      </c>
      <c r="N72" s="2802" t="str">
        <f t="shared" si="19"/>
        <v>2016-1</v>
      </c>
      <c r="O72" s="2160" t="s">
        <v>3405</v>
      </c>
      <c r="P72" s="2161" t="s">
        <v>3406</v>
      </c>
      <c r="Q72" s="2162"/>
      <c r="R72" s="2162"/>
      <c r="S72" s="2162"/>
      <c r="T72" s="2162"/>
      <c r="U72" s="2162"/>
      <c r="V72" s="2162"/>
      <c r="W72" s="2162"/>
      <c r="X72" s="2162"/>
      <c r="Y72" s="2162"/>
      <c r="Z72" s="2162"/>
      <c r="AA72" s="2162"/>
      <c r="AB72" s="2162"/>
      <c r="AC72" s="2162"/>
    </row>
    <row r="73" spans="1:29" s="1220" customFormat="1" ht="27" customHeight="1">
      <c r="A73" s="2807" t="s">
        <v>2985</v>
      </c>
      <c r="B73" s="479" t="str">
        <f>"北京市平均增长率"&amp;TEXT(SUMIF(基准地价!N21:N25,A73,基准地价!P21:P25),"0.00%")</f>
        <v>北京市平均增长率1.53%</v>
      </c>
      <c r="C73" s="894">
        <v>100</v>
      </c>
      <c r="D73" s="730">
        <f>C73-1</f>
        <v>99</v>
      </c>
      <c r="E73" s="730">
        <f t="shared" ref="E73:P73" si="20">D73-1</f>
        <v>98</v>
      </c>
      <c r="F73" s="730">
        <f t="shared" si="20"/>
        <v>97</v>
      </c>
      <c r="G73" s="730">
        <f t="shared" si="20"/>
        <v>96</v>
      </c>
      <c r="H73" s="730">
        <f t="shared" si="20"/>
        <v>95</v>
      </c>
      <c r="I73" s="730">
        <f t="shared" si="20"/>
        <v>94</v>
      </c>
      <c r="J73" s="730">
        <f t="shared" si="20"/>
        <v>93</v>
      </c>
      <c r="K73" s="730">
        <f t="shared" si="20"/>
        <v>92</v>
      </c>
      <c r="L73" s="730">
        <f t="shared" si="20"/>
        <v>91</v>
      </c>
      <c r="M73" s="730">
        <f t="shared" si="20"/>
        <v>90</v>
      </c>
      <c r="N73" s="730">
        <f t="shared" si="20"/>
        <v>89</v>
      </c>
      <c r="O73" s="730">
        <f t="shared" si="20"/>
        <v>88</v>
      </c>
      <c r="P73" s="730">
        <f t="shared" si="20"/>
        <v>87</v>
      </c>
      <c r="Q73" s="1994"/>
      <c r="R73" s="1994"/>
      <c r="S73" s="1994"/>
      <c r="T73" s="1994"/>
      <c r="U73" s="1994"/>
      <c r="V73" s="1994"/>
      <c r="W73" s="1994"/>
      <c r="X73" s="1994"/>
      <c r="Y73" s="1994"/>
      <c r="Z73" s="1994"/>
      <c r="AA73" s="1994"/>
      <c r="AB73" s="1994"/>
      <c r="AC73" s="1994"/>
    </row>
    <row r="74" spans="1:29" s="1220" customFormat="1" ht="15" customHeight="1" thickBot="1">
      <c r="A74" s="2797" t="s">
        <v>2646</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88" t="s">
        <v>3368</v>
      </c>
      <c r="D77" s="3188" t="s">
        <v>3433</v>
      </c>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v>105</v>
      </c>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6（含）-7</v>
      </c>
      <c r="J81" s="682" t="str">
        <f t="shared" si="21"/>
        <v>7（含）-8</v>
      </c>
      <c r="K81" s="682" t="str">
        <f t="shared" si="21"/>
        <v>8（含）-9</v>
      </c>
      <c r="L81" s="682" t="str">
        <f t="shared" si="21"/>
        <v>9（含）-10</v>
      </c>
      <c r="M81" s="555" t="str">
        <f>M82&amp;"（含）"&amp;"-"&amp;P82</f>
        <v>10（含）-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v>6</v>
      </c>
      <c r="J82" s="541">
        <v>7</v>
      </c>
      <c r="K82" s="684">
        <v>8</v>
      </c>
      <c r="L82" s="685">
        <v>9</v>
      </c>
      <c r="M82" s="686">
        <v>10</v>
      </c>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98.5</v>
      </c>
      <c r="E83" s="679">
        <f t="shared" ref="E83:M83" si="22">IF($B$48="单位面积地价",D83+$K13,D83-$K13)</f>
        <v>97</v>
      </c>
      <c r="F83" s="679">
        <f t="shared" si="22"/>
        <v>95.5</v>
      </c>
      <c r="G83" s="679">
        <f t="shared" si="22"/>
        <v>94</v>
      </c>
      <c r="H83" s="679">
        <f t="shared" si="22"/>
        <v>92.5</v>
      </c>
      <c r="I83" s="679">
        <f t="shared" si="22"/>
        <v>91</v>
      </c>
      <c r="J83" s="679">
        <f t="shared" si="22"/>
        <v>89.5</v>
      </c>
      <c r="K83" s="679">
        <f t="shared" si="22"/>
        <v>88</v>
      </c>
      <c r="L83" s="679">
        <f t="shared" si="22"/>
        <v>86.5</v>
      </c>
      <c r="M83" s="679">
        <f t="shared" si="22"/>
        <v>85</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98</v>
      </c>
      <c r="E93" s="679">
        <f>D93-$K19</f>
        <v>96</v>
      </c>
      <c r="F93" s="679">
        <f>E93-$K19</f>
        <v>94</v>
      </c>
      <c r="G93" s="679">
        <f>F93-$K19</f>
        <v>92</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2548</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98" t="s">
        <v>2550</v>
      </c>
      <c r="C104" s="2599" t="s">
        <v>2551</v>
      </c>
      <c r="D104" s="2599" t="s">
        <v>2552</v>
      </c>
      <c r="E104" s="2599" t="s">
        <v>2553</v>
      </c>
      <c r="F104" s="2599" t="s">
        <v>2554</v>
      </c>
      <c r="G104" s="2599" t="s">
        <v>2555</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98</v>
      </c>
      <c r="E107" s="679">
        <f t="shared" ref="E107:M107" si="23">D107-$K33</f>
        <v>96</v>
      </c>
      <c r="F107" s="679">
        <f t="shared" si="23"/>
        <v>94</v>
      </c>
      <c r="G107" s="679">
        <f t="shared" si="23"/>
        <v>92</v>
      </c>
      <c r="H107" s="679">
        <f t="shared" si="23"/>
        <v>90</v>
      </c>
      <c r="I107" s="679">
        <f t="shared" si="23"/>
        <v>88</v>
      </c>
      <c r="J107" s="679">
        <f t="shared" si="23"/>
        <v>86</v>
      </c>
      <c r="K107" s="679">
        <f t="shared" si="23"/>
        <v>84</v>
      </c>
      <c r="L107" s="679">
        <f t="shared" si="23"/>
        <v>82</v>
      </c>
      <c r="M107" s="679">
        <f t="shared" si="23"/>
        <v>80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3189" t="s">
        <v>3369</v>
      </c>
      <c r="D108" s="3189" t="s">
        <v>3371</v>
      </c>
      <c r="E108" s="3189" t="s">
        <v>3373</v>
      </c>
      <c r="F108" s="3189" t="s">
        <v>3375</v>
      </c>
      <c r="G108" s="3189" t="s">
        <v>3377</v>
      </c>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6">C119&amp;"(含)"&amp;"-"&amp;D119</f>
        <v>0(含)-10000</v>
      </c>
      <c r="D118" s="704" t="str">
        <f t="shared" si="26"/>
        <v>10000(含)-20000</v>
      </c>
      <c r="E118" s="704" t="str">
        <f t="shared" si="26"/>
        <v>20000(含)-40000</v>
      </c>
      <c r="F118" s="704" t="str">
        <f t="shared" si="26"/>
        <v>40000(含)-80000</v>
      </c>
      <c r="G118" s="704" t="str">
        <f t="shared" si="26"/>
        <v>80000(含)-150000</v>
      </c>
      <c r="H118" s="704" t="str">
        <f t="shared" si="26"/>
        <v>150000(含)-200000</v>
      </c>
      <c r="I118" s="704" t="str">
        <f t="shared" si="26"/>
        <v>200000(含)-300000</v>
      </c>
      <c r="J118" s="3094" t="str">
        <f t="shared" si="26"/>
        <v>300000(含)-500000</v>
      </c>
      <c r="K118" s="3094" t="str">
        <f t="shared" si="26"/>
        <v>500000(含)-1000000</v>
      </c>
      <c r="L118" s="3095" t="str">
        <f t="shared" si="26"/>
        <v>1000000(含)-</v>
      </c>
      <c r="M118" s="3096"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10000</v>
      </c>
      <c r="E119" s="730">
        <v>20000</v>
      </c>
      <c r="F119" s="730">
        <v>40000</v>
      </c>
      <c r="G119" s="730">
        <v>80000</v>
      </c>
      <c r="H119" s="730">
        <v>150000</v>
      </c>
      <c r="I119" s="730">
        <v>200000</v>
      </c>
      <c r="J119" s="2368">
        <v>300000</v>
      </c>
      <c r="K119" s="2368">
        <v>500000</v>
      </c>
      <c r="L119" s="2369">
        <v>1000000</v>
      </c>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100</v>
      </c>
      <c r="D120" s="726">
        <f>C120+1</f>
        <v>101</v>
      </c>
      <c r="E120" s="726">
        <f t="shared" ref="E120:K120" si="27">D120+1</f>
        <v>102</v>
      </c>
      <c r="F120" s="726">
        <f t="shared" si="27"/>
        <v>103</v>
      </c>
      <c r="G120" s="726">
        <f t="shared" si="27"/>
        <v>104</v>
      </c>
      <c r="H120" s="726">
        <f t="shared" si="27"/>
        <v>105</v>
      </c>
      <c r="I120" s="726">
        <f t="shared" si="27"/>
        <v>106</v>
      </c>
      <c r="J120" s="726">
        <f t="shared" si="27"/>
        <v>107</v>
      </c>
      <c r="K120" s="726">
        <f t="shared" si="27"/>
        <v>108</v>
      </c>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190" t="s">
        <v>3378</v>
      </c>
      <c r="D121" s="3190" t="s">
        <v>3380</v>
      </c>
      <c r="E121" s="3190" t="s">
        <v>3381</v>
      </c>
      <c r="F121" s="3190" t="s">
        <v>3382</v>
      </c>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8">C122-$K41</f>
        <v>98</v>
      </c>
      <c r="E122" s="679">
        <f t="shared" si="28"/>
        <v>96</v>
      </c>
      <c r="F122" s="679">
        <f t="shared" si="28"/>
        <v>94</v>
      </c>
      <c r="G122" s="679">
        <f t="shared" si="28"/>
        <v>92</v>
      </c>
      <c r="H122" s="679">
        <f t="shared" si="28"/>
        <v>90</v>
      </c>
      <c r="I122" s="679">
        <f t="shared" si="28"/>
        <v>88</v>
      </c>
      <c r="J122" s="679">
        <f t="shared" si="28"/>
        <v>86</v>
      </c>
      <c r="K122" s="679">
        <f t="shared" si="28"/>
        <v>84</v>
      </c>
      <c r="L122" s="679">
        <f t="shared" si="28"/>
        <v>82</v>
      </c>
      <c r="M122" s="680">
        <f t="shared" si="28"/>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3189" t="s">
        <v>3383</v>
      </c>
      <c r="D123" s="3189" t="s">
        <v>3385</v>
      </c>
      <c r="E123" s="3189" t="s">
        <v>3386</v>
      </c>
      <c r="F123" s="3190" t="s">
        <v>3387</v>
      </c>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9">C124-$K42</f>
        <v>98</v>
      </c>
      <c r="E124" s="679">
        <f t="shared" si="29"/>
        <v>96</v>
      </c>
      <c r="F124" s="679">
        <f t="shared" si="29"/>
        <v>94</v>
      </c>
      <c r="G124" s="679">
        <f t="shared" si="29"/>
        <v>92</v>
      </c>
      <c r="H124" s="679">
        <f t="shared" si="29"/>
        <v>90</v>
      </c>
      <c r="I124" s="679">
        <f t="shared" si="29"/>
        <v>88</v>
      </c>
      <c r="J124" s="679">
        <f t="shared" si="29"/>
        <v>86</v>
      </c>
      <c r="K124" s="679">
        <f t="shared" si="29"/>
        <v>84</v>
      </c>
      <c r="L124" s="679">
        <f t="shared" si="29"/>
        <v>82</v>
      </c>
      <c r="M124" s="680">
        <f t="shared" si="29"/>
        <v>80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2425</v>
      </c>
      <c r="C125" s="1375" t="s">
        <v>3388</v>
      </c>
      <c r="D125" s="1375" t="s">
        <v>3389</v>
      </c>
      <c r="E125" s="1375" t="s">
        <v>3390</v>
      </c>
      <c r="F125" s="1375" t="s">
        <v>3391</v>
      </c>
      <c r="G125" s="1375" t="s">
        <v>3392</v>
      </c>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99</v>
      </c>
      <c r="E126" s="679">
        <f t="shared" ref="E126:M126" si="30">D126-$K43</f>
        <v>98</v>
      </c>
      <c r="F126" s="679">
        <f t="shared" si="30"/>
        <v>97</v>
      </c>
      <c r="G126" s="679">
        <f t="shared" si="30"/>
        <v>96</v>
      </c>
      <c r="H126" s="679">
        <f t="shared" si="30"/>
        <v>95</v>
      </c>
      <c r="I126" s="679">
        <f t="shared" si="30"/>
        <v>94</v>
      </c>
      <c r="J126" s="679">
        <f t="shared" si="30"/>
        <v>93</v>
      </c>
      <c r="K126" s="679">
        <f t="shared" si="30"/>
        <v>92</v>
      </c>
      <c r="L126" s="679">
        <f t="shared" si="30"/>
        <v>91</v>
      </c>
      <c r="M126" s="680">
        <f t="shared" si="30"/>
        <v>90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t="s">
        <v>3393</v>
      </c>
      <c r="D127" s="688" t="s">
        <v>3394</v>
      </c>
      <c r="E127" s="718" t="s">
        <v>3395</v>
      </c>
      <c r="F127" s="718" t="s">
        <v>3396</v>
      </c>
      <c r="G127" s="718" t="s">
        <v>3397</v>
      </c>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31">C128-$K44</f>
        <v>98</v>
      </c>
      <c r="E128" s="679">
        <f t="shared" si="31"/>
        <v>96</v>
      </c>
      <c r="F128" s="679">
        <f t="shared" si="31"/>
        <v>94</v>
      </c>
      <c r="G128" s="679">
        <f t="shared" si="31"/>
        <v>92</v>
      </c>
      <c r="H128" s="679">
        <f t="shared" si="31"/>
        <v>90</v>
      </c>
      <c r="I128" s="679">
        <f t="shared" si="31"/>
        <v>88</v>
      </c>
      <c r="J128" s="679">
        <f t="shared" si="31"/>
        <v>86</v>
      </c>
      <c r="K128" s="679">
        <f t="shared" si="31"/>
        <v>84</v>
      </c>
      <c r="L128" s="679">
        <f t="shared" si="31"/>
        <v>82</v>
      </c>
      <c r="M128" s="680">
        <f t="shared" si="31"/>
        <v>80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6" priority="14" stopIfTrue="1" operator="containsText" text="超过">
      <formula>NOT(ISERROR(SEARCH("超过",F53)))</formula>
    </cfRule>
  </conditionalFormatting>
  <conditionalFormatting sqref="J55">
    <cfRule type="containsText" dxfId="165" priority="13" stopIfTrue="1" operator="containsText" text="超过">
      <formula>NOT(ISERROR(SEARCH("超过",J55)))</formula>
    </cfRule>
  </conditionalFormatting>
  <conditionalFormatting sqref="H55">
    <cfRule type="containsText" dxfId="164" priority="12" stopIfTrue="1" operator="containsText" text="超过">
      <formula>NOT(ISERROR(SEARCH("超过",H55)))</formula>
    </cfRule>
  </conditionalFormatting>
  <conditionalFormatting sqref="F55">
    <cfRule type="containsText" dxfId="163" priority="11" stopIfTrue="1" operator="containsText" text="超过">
      <formula>NOT(ISERROR(SEARCH("超过",F55)))</formula>
    </cfRule>
  </conditionalFormatting>
  <conditionalFormatting sqref="F54 H54 J54">
    <cfRule type="containsText" dxfId="162" priority="10" stopIfTrue="1" operator="containsText" text="超过">
      <formula>NOT(ISERROR(SEARCH("超过",F54)))</formula>
    </cfRule>
  </conditionalFormatting>
  <conditionalFormatting sqref="E53">
    <cfRule type="expression" dxfId="161" priority="9" stopIfTrue="1">
      <formula>$F$53="超过30%"</formula>
    </cfRule>
  </conditionalFormatting>
  <conditionalFormatting sqref="G55">
    <cfRule type="expression" dxfId="160" priority="8" stopIfTrue="1">
      <formula>$H$55="超过30%"</formula>
    </cfRule>
  </conditionalFormatting>
  <conditionalFormatting sqref="E54">
    <cfRule type="expression" dxfId="159" priority="7" stopIfTrue="1">
      <formula>$F$54="超过20%"</formula>
    </cfRule>
  </conditionalFormatting>
  <conditionalFormatting sqref="E55">
    <cfRule type="expression" dxfId="158" priority="6" stopIfTrue="1">
      <formula>$F$55="超过30%"</formula>
    </cfRule>
  </conditionalFormatting>
  <conditionalFormatting sqref="G53">
    <cfRule type="expression" dxfId="157" priority="5" stopIfTrue="1">
      <formula>$H$55+$H$53="超过30%"</formula>
    </cfRule>
  </conditionalFormatting>
  <conditionalFormatting sqref="G54">
    <cfRule type="expression" dxfId="156" priority="4" stopIfTrue="1">
      <formula>$H$54="超过20%"</formula>
    </cfRule>
  </conditionalFormatting>
  <conditionalFormatting sqref="I53">
    <cfRule type="expression" dxfId="155" priority="3" stopIfTrue="1">
      <formula>$J$53="超过30%"</formula>
    </cfRule>
  </conditionalFormatting>
  <conditionalFormatting sqref="I54">
    <cfRule type="expression" dxfId="154" priority="2" stopIfTrue="1">
      <formula>$J$54="超过20%"</formula>
    </cfRule>
  </conditionalFormatting>
  <conditionalFormatting sqref="I55">
    <cfRule type="expression" dxfId="15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1901</v>
      </c>
      <c r="B36" s="1654" t="s">
        <v>1902</v>
      </c>
    </row>
    <row r="37" spans="1:9" ht="28.5" customHeight="1">
      <c r="A37" s="1654"/>
      <c r="B37" s="3208" t="str">
        <f>项目基本情况!B1</f>
        <v>北京市丰台区西三环南路16号商务金融用地出让国有建设用地使用权出让国有建设用地使用权抵押价格预评估</v>
      </c>
      <c r="C37" s="3208"/>
      <c r="D37" s="3208"/>
      <c r="E37" s="3208"/>
      <c r="F37" s="3208"/>
      <c r="G37" s="3208"/>
      <c r="H37" s="3208"/>
      <c r="I37" s="3208"/>
    </row>
    <row r="38" spans="1:9">
      <c r="A38" s="1656"/>
      <c r="B38" s="1656"/>
    </row>
    <row r="39" spans="1:9">
      <c r="A39" s="1654" t="s">
        <v>1901</v>
      </c>
      <c r="B39" s="1654" t="s">
        <v>2047</v>
      </c>
    </row>
    <row r="40" spans="1:9">
      <c r="A40" s="1654"/>
      <c r="B40" s="1654" t="str">
        <f>项目基本情况!B5</f>
        <v>北京精图科工贸集团</v>
      </c>
    </row>
    <row r="41" spans="1:9">
      <c r="A41" s="1654"/>
      <c r="B41" s="1654"/>
    </row>
    <row r="42" spans="1:9">
      <c r="A42" s="1654" t="s">
        <v>1901</v>
      </c>
      <c r="B42" s="1654" t="s">
        <v>2048</v>
      </c>
    </row>
    <row r="43" spans="1:9">
      <c r="A43" s="1654"/>
      <c r="B43" s="1654" t="s">
        <v>1903</v>
      </c>
    </row>
    <row r="44" spans="1:9">
      <c r="A44" s="1654"/>
      <c r="B44" s="1654"/>
    </row>
    <row r="45" spans="1:9">
      <c r="A45" s="1654" t="s">
        <v>1901</v>
      </c>
      <c r="B45" s="1654" t="s">
        <v>2046</v>
      </c>
    </row>
    <row r="46" spans="1:9" s="1654" customFormat="1" ht="12.75">
      <c r="B46" s="1654" t="str">
        <f>项目基本情况!K4</f>
        <v>吴薇、赵雯</v>
      </c>
    </row>
    <row r="47" spans="1:9">
      <c r="A47" s="1654"/>
      <c r="B47" s="1654"/>
    </row>
    <row r="48" spans="1:9">
      <c r="A48" s="1654" t="s">
        <v>1901</v>
      </c>
      <c r="B48" s="1654" t="s">
        <v>2049</v>
      </c>
    </row>
    <row r="49" spans="2:2">
      <c r="B49" s="1654" t="str">
        <f>"康正预评字"&amp;项目基本情况!B2&amp;"号"</f>
        <v>康正预评字2018-1-0742-P01DYGJ1号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E8" sqref="E8"/>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c r="C1" s="2105"/>
      <c r="D1" s="2105"/>
      <c r="E1" s="2105"/>
      <c r="F1" s="2105"/>
      <c r="G1" s="2105"/>
      <c r="H1" s="2105"/>
      <c r="I1" s="2105"/>
      <c r="J1" s="2105"/>
      <c r="K1" s="422">
        <f>MATCH(B1,'数据-取费表'!A6:A16,0)+5</f>
        <v>12</v>
      </c>
    </row>
    <row r="2" spans="1:31" s="2042" customFormat="1" ht="18" customHeight="1">
      <c r="A2" s="2102" t="s">
        <v>467</v>
      </c>
      <c r="B2" s="2106">
        <f ca="1">C36</f>
        <v>55549</v>
      </c>
      <c r="C2" s="2105"/>
      <c r="D2" s="2105"/>
      <c r="E2" s="2105"/>
      <c r="F2" s="2105"/>
      <c r="G2" s="2105"/>
      <c r="H2" s="2105"/>
      <c r="I2" s="2105"/>
      <c r="J2" s="2105"/>
      <c r="K2" s="2105"/>
    </row>
    <row r="3" spans="1:31" s="2042" customFormat="1" ht="18" customHeight="1">
      <c r="A3" s="2107" t="s">
        <v>1684</v>
      </c>
      <c r="B3" s="2108">
        <f ca="1">ROUND(B2*10000/IF(B1="",'数据-汇总表'!E3,INDIRECT("'数据-取费表'!K"&amp;$K$1)),0)</f>
        <v>10784</v>
      </c>
      <c r="C3" s="2105"/>
      <c r="D3" s="2105"/>
      <c r="E3" s="2105"/>
      <c r="F3" s="2105"/>
      <c r="G3" s="2105"/>
      <c r="H3" s="2105"/>
      <c r="I3" s="2105"/>
      <c r="J3" s="2105"/>
      <c r="K3" s="2105"/>
    </row>
    <row r="4" spans="1:31" s="2042" customFormat="1" ht="18" customHeight="1">
      <c r="A4" s="426" t="s">
        <v>468</v>
      </c>
      <c r="B4" s="427">
        <f ca="1">ROUND(B2*10000/IF(B1="",'数据-汇总表'!D3,INDIRECT("'数据-取费表'!R"&amp;$K$1)),0)</f>
        <v>27177</v>
      </c>
      <c r="C4" s="428"/>
      <c r="D4" s="422"/>
      <c r="E4" s="422"/>
      <c r="F4" s="422"/>
      <c r="G4" s="422"/>
      <c r="H4" s="422"/>
      <c r="I4" s="422"/>
      <c r="J4" s="422"/>
      <c r="K4" s="422"/>
    </row>
    <row r="5" spans="1:31" s="2042" customFormat="1" ht="18" customHeight="1" thickBot="1">
      <c r="A5" s="429"/>
      <c r="B5" s="430">
        <f ca="1">ROUND(B2/(IF(B1="",'数据-汇总表'!D3,INDIRECT("'数据-取费表'!R"&amp;$K$1))/666.67),0)</f>
        <v>1812</v>
      </c>
      <c r="C5" s="431" t="s">
        <v>469</v>
      </c>
      <c r="D5" s="422"/>
      <c r="E5" s="422"/>
      <c r="F5" s="422"/>
      <c r="G5" s="422"/>
      <c r="H5" s="422"/>
      <c r="I5" s="422"/>
      <c r="J5" s="422"/>
      <c r="K5" s="422"/>
    </row>
    <row r="6" spans="1:31" s="2112" customFormat="1" ht="16.5" customHeight="1">
      <c r="A6" s="2829" t="s">
        <v>1842</v>
      </c>
      <c r="B6" s="2830"/>
      <c r="C6" s="2831">
        <f ca="1">SUM(C10:K10)</f>
        <v>98082</v>
      </c>
      <c r="D6" s="2830"/>
      <c r="E6" s="2830"/>
      <c r="F6" s="2830"/>
      <c r="G6" s="2830"/>
      <c r="H6" s="2830"/>
      <c r="I6" s="2830"/>
      <c r="J6" s="2830"/>
      <c r="K6" s="2832"/>
    </row>
    <row r="7" spans="1:31" s="2114" customFormat="1" ht="15">
      <c r="A7" s="2833" t="s">
        <v>470</v>
      </c>
      <c r="B7" s="2834" t="s">
        <v>471</v>
      </c>
      <c r="C7" s="436" t="s">
        <v>2985</v>
      </c>
      <c r="D7" s="436" t="s">
        <v>3008</v>
      </c>
      <c r="E7" s="436" t="s">
        <v>3010</v>
      </c>
      <c r="F7" s="436" t="s">
        <v>3012</v>
      </c>
      <c r="G7" s="436" t="s">
        <v>3015</v>
      </c>
      <c r="H7" s="436" t="s">
        <v>3434</v>
      </c>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1845</v>
      </c>
      <c r="B8" s="261" t="s">
        <v>472</v>
      </c>
      <c r="C8" s="2835">
        <f ca="1">'不动产收益法-商业'!B3</f>
        <v>47814</v>
      </c>
      <c r="D8" s="2835">
        <f ca="1">'不动产收益法-体育设施'!B3</f>
        <v>35366</v>
      </c>
      <c r="E8" s="2835">
        <f ca="1">'不动产收益法-教育培训'!B3</f>
        <v>35388</v>
      </c>
      <c r="F8" s="2835">
        <f ca="1">'不动产收益法-冰场'!B3</f>
        <v>16239</v>
      </c>
      <c r="G8" s="2835">
        <f ca="1">'不动产收益法-车库'!B3</f>
        <v>6132</v>
      </c>
      <c r="H8" s="2835">
        <f ca="1">'不动产收益法-地下商业'!B3</f>
        <v>32874</v>
      </c>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1846</v>
      </c>
      <c r="B9" s="261" t="s">
        <v>473</v>
      </c>
      <c r="C9" s="441">
        <f>SUMIF('数据-汇总表'!$C19:$C33,'剩余法-待开发'!C7,'数据-汇总表'!$E19:$E33)</f>
        <v>6098</v>
      </c>
      <c r="D9" s="441">
        <f>SUMIF('数据-汇总表'!$C19:$C33,'剩余法-待开发'!D7,'数据-汇总表'!$E19:$E33)</f>
        <v>6256</v>
      </c>
      <c r="E9" s="441">
        <f>SUMIF('数据-汇总表'!$C19:$C33,'剩余法-待开发'!E7,'数据-汇总表'!$E19:$E33)</f>
        <v>3697</v>
      </c>
      <c r="F9" s="441">
        <f>SUMIF('数据-汇总表'!$C19:$C33,'剩余法-待开发'!F7,'数据-汇总表'!$E19:$E33)</f>
        <v>6546</v>
      </c>
      <c r="G9" s="441">
        <f>SUMIF('数据-汇总表'!$C19:$C33,'剩余法-待开发'!G7,'数据-汇总表'!$E19:$E33)</f>
        <v>18791</v>
      </c>
      <c r="H9" s="441">
        <f>SUMIF('数据-汇总表'!$C19:$C33,'剩余法-待开发'!H7,'数据-汇总表'!$E19:$E33)</f>
        <v>3518</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1847</v>
      </c>
      <c r="B10" s="2823" t="s">
        <v>474</v>
      </c>
      <c r="C10" s="3030">
        <f ca="1">'不动产收益法-商业'!B2</f>
        <v>29157</v>
      </c>
      <c r="D10" s="3030">
        <f ca="1">'不动产收益法-体育设施'!B2</f>
        <v>22125</v>
      </c>
      <c r="E10" s="3030">
        <f ca="1">'不动产收益法-教育培训'!B2</f>
        <v>13083</v>
      </c>
      <c r="F10" s="2838">
        <f ca="1">'不动产收益法-冰场'!B2</f>
        <v>10630</v>
      </c>
      <c r="G10" s="2838">
        <f ca="1">'不动产收益法-车库'!B2</f>
        <v>11522</v>
      </c>
      <c r="H10" s="2838">
        <f ca="1">'不动产收益法-地下商业'!B2</f>
        <v>11565</v>
      </c>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1843</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1848</v>
      </c>
      <c r="B13" s="2844" t="s">
        <v>479</v>
      </c>
      <c r="C13" s="450">
        <f ca="1">IF(B1="",'数据-取费表'!P16,INDIRECT("'数据-取费表'!p"&amp;$K$1)+INDIRECT("'数据-取费表'!t"&amp;$K$1))</f>
        <v>16145</v>
      </c>
      <c r="D13" s="2845"/>
      <c r="E13" s="2846"/>
      <c r="F13" s="2847"/>
      <c r="G13" s="2813"/>
      <c r="H13" s="2814"/>
      <c r="I13" s="2814"/>
      <c r="J13" s="2814"/>
      <c r="K13" s="2815"/>
    </row>
    <row r="14" spans="1:31" s="2117" customFormat="1" ht="13.5" customHeight="1">
      <c r="A14" s="2843" t="s">
        <v>1849</v>
      </c>
      <c r="B14" s="2844" t="s">
        <v>480</v>
      </c>
      <c r="C14" s="53">
        <f ca="1">ROUND(C13*F14,0)</f>
        <v>484</v>
      </c>
      <c r="D14" s="2845"/>
      <c r="E14" s="2846"/>
      <c r="F14" s="2848">
        <f>'数据-取费表'!B33</f>
        <v>0.03</v>
      </c>
      <c r="G14" s="2813" t="s">
        <v>481</v>
      </c>
      <c r="H14" s="2814"/>
      <c r="I14" s="2814"/>
      <c r="J14" s="2814"/>
      <c r="K14" s="2815"/>
    </row>
    <row r="15" spans="1:31" s="2117" customFormat="1" ht="13.5" customHeight="1">
      <c r="A15" s="2843" t="s">
        <v>1850</v>
      </c>
      <c r="B15" s="2844" t="s">
        <v>482</v>
      </c>
      <c r="C15" s="53">
        <f ca="1">ROUND(IF(B1="",SUMIF('数据-取费表'!C:C,"住宅",'数据-取费表'!P:P)*F15,IF(INDIRECT("'数据-取费表'!c"&amp;$K$1)="住宅",INDIRECT("'数据-取费表'!P"&amp;$K$1)*F15,0)),0)</f>
        <v>0</v>
      </c>
      <c r="D15" s="2845"/>
      <c r="E15" s="2846"/>
      <c r="F15" s="2848">
        <f>'数据-取费表'!B34</f>
        <v>0</v>
      </c>
      <c r="G15" s="2813" t="s">
        <v>483</v>
      </c>
      <c r="H15" s="2814"/>
      <c r="I15" s="2814"/>
      <c r="J15" s="2814"/>
      <c r="K15" s="2815"/>
    </row>
    <row r="16" spans="1:31" s="2118" customFormat="1" ht="13.5" customHeight="1">
      <c r="A16" s="2843" t="s">
        <v>1851</v>
      </c>
      <c r="B16" s="2844" t="s">
        <v>484</v>
      </c>
      <c r="C16" s="53">
        <f ca="1">ROUND(D16*E16/10000,0)</f>
        <v>1030</v>
      </c>
      <c r="D16" s="2845">
        <f ca="1">IF(B1="",'数据-汇总表'!E3,INDIRECT("'数据-取费表'!K"&amp;$K$1)+INDIRECT("'数据-取费表'!S"&amp;$K$1))</f>
        <v>51512</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1852</v>
      </c>
      <c r="B17" s="2844" t="s">
        <v>485</v>
      </c>
      <c r="C17" s="2849">
        <f ca="1">ROUND(C13*F17,0)</f>
        <v>242</v>
      </c>
      <c r="D17" s="475"/>
      <c r="E17" s="2849"/>
      <c r="F17" s="2850">
        <f>'数据-取费表'!B36</f>
        <v>1.4999999999999999E-2</v>
      </c>
      <c r="G17" s="261" t="s">
        <v>486</v>
      </c>
      <c r="H17" s="2816"/>
      <c r="I17" s="2816"/>
      <c r="J17" s="2816"/>
      <c r="K17" s="279"/>
    </row>
    <row r="18" spans="1:14" s="2117" customFormat="1" ht="13.5" customHeight="1">
      <c r="A18" s="2851" t="s">
        <v>1853</v>
      </c>
      <c r="B18" s="2852" t="s">
        <v>487</v>
      </c>
      <c r="C18" s="2853">
        <f ca="1">SUM(C13:C17)</f>
        <v>17901</v>
      </c>
      <c r="D18" s="2854"/>
      <c r="E18" s="468"/>
      <c r="F18" s="468"/>
      <c r="G18" s="2817" t="s">
        <v>2430</v>
      </c>
      <c r="H18" s="2818"/>
      <c r="I18" s="2818"/>
      <c r="J18" s="2818"/>
      <c r="K18" s="2819"/>
    </row>
    <row r="19" spans="1:14" s="2117" customFormat="1" ht="13.5" customHeight="1">
      <c r="A19" s="2851" t="s">
        <v>1854</v>
      </c>
      <c r="B19" s="2852" t="s">
        <v>488</v>
      </c>
      <c r="C19" s="2809">
        <f ca="1">ROUND(D19*E19/10000,0)</f>
        <v>0</v>
      </c>
      <c r="D19" s="2855">
        <f ca="1">D16</f>
        <v>51512</v>
      </c>
      <c r="E19" s="2809">
        <f>'数据-取费表'!B32</f>
        <v>0</v>
      </c>
      <c r="F19" s="468"/>
      <c r="G19" s="2813" t="s">
        <v>489</v>
      </c>
      <c r="H19" s="2814"/>
      <c r="I19" s="2818"/>
      <c r="J19" s="2818"/>
      <c r="K19" s="2819"/>
    </row>
    <row r="20" spans="1:14" s="2117" customFormat="1" ht="13.5" customHeight="1">
      <c r="A20" s="2851" t="s">
        <v>1855</v>
      </c>
      <c r="B20" s="2852" t="s">
        <v>490</v>
      </c>
      <c r="C20" s="2809">
        <f ca="1">C21+C22-IF(B1="",'数据-取费表'!B29,IF(G20="已全部缴纳",C21+C22,H20))</f>
        <v>1030</v>
      </c>
      <c r="D20" s="2855"/>
      <c r="E20" s="2809"/>
      <c r="F20" s="2856"/>
      <c r="G20" s="3090" t="s">
        <v>3423</v>
      </c>
      <c r="H20" s="2811">
        <v>0</v>
      </c>
      <c r="I20" s="2812" t="s">
        <v>2650</v>
      </c>
      <c r="J20" s="2818"/>
      <c r="K20" s="2819"/>
    </row>
    <row r="21" spans="1:14" s="2117" customFormat="1" ht="13.5" customHeight="1">
      <c r="A21" s="2843" t="s">
        <v>1856</v>
      </c>
      <c r="B21" s="2844" t="s">
        <v>491</v>
      </c>
      <c r="C21" s="53">
        <f ca="1">ROUND(D21*E21/10000,0)</f>
        <v>0</v>
      </c>
      <c r="D21" s="2845">
        <f ca="1">IF(B1="",'数据-汇总表'!E5,IF(INDIRECT("'数据-取费表'!c"&amp;$K$1)="住宅",INDIRECT("'数据-取费表'!k"&amp;$K$1),0))</f>
        <v>0</v>
      </c>
      <c r="E21" s="53">
        <f>'数据-取费表'!B27</f>
        <v>0</v>
      </c>
      <c r="F21" s="2848"/>
      <c r="G21" s="26"/>
      <c r="H21" s="51"/>
      <c r="I21" s="51"/>
      <c r="J21" s="51"/>
      <c r="K21" s="2820"/>
    </row>
    <row r="22" spans="1:14" s="2117" customFormat="1" ht="13.5" customHeight="1">
      <c r="A22" s="2843" t="s">
        <v>1857</v>
      </c>
      <c r="B22" s="2844" t="s">
        <v>492</v>
      </c>
      <c r="C22" s="53">
        <f ca="1">ROUND(D22*E22/10000,0)</f>
        <v>1030</v>
      </c>
      <c r="D22" s="2845">
        <f ca="1">IF(B1="",'数据-汇总表'!E6,IF(INDIRECT("'数据-取费表'!c"&amp;$K$1)="住宅",INDIRECT("'数据-取费表'!s"&amp;$K$1),INDIRECT("'数据-取费表'!k"&amp;$K$1)+INDIRECT("'数据-取费表'!s"&amp;$K$1)))</f>
        <v>51512</v>
      </c>
      <c r="E22" s="53">
        <f>'数据-取费表'!B28</f>
        <v>200</v>
      </c>
      <c r="F22" s="2848"/>
      <c r="G22" s="26"/>
      <c r="H22" s="51"/>
      <c r="I22" s="51"/>
      <c r="J22" s="51"/>
      <c r="K22" s="2820"/>
    </row>
    <row r="23" spans="1:14" s="2117" customFormat="1" ht="13.5" customHeight="1">
      <c r="A23" s="2851" t="s">
        <v>1858</v>
      </c>
      <c r="B23" s="3036" t="s">
        <v>2833</v>
      </c>
      <c r="C23" s="2853">
        <f ca="1">ROUND((C18+C19+C20)*F23,0)</f>
        <v>379</v>
      </c>
      <c r="D23" s="468"/>
      <c r="E23" s="468"/>
      <c r="F23" s="2857">
        <f>'数据-取费表'!B37</f>
        <v>0.02</v>
      </c>
      <c r="G23" s="2813" t="s">
        <v>2431</v>
      </c>
      <c r="H23" s="2814"/>
      <c r="I23" s="2814"/>
      <c r="J23" s="2814"/>
      <c r="K23" s="2815"/>
      <c r="L23" s="2119"/>
      <c r="M23" s="2119"/>
      <c r="N23" s="2119"/>
    </row>
    <row r="24" spans="1:14" s="2117" customFormat="1" ht="13.5" customHeight="1">
      <c r="A24" s="2851" t="s">
        <v>1859</v>
      </c>
      <c r="B24" s="3036" t="s">
        <v>2836</v>
      </c>
      <c r="C24" s="2853">
        <f ca="1">ROUND(C6*F24,0)</f>
        <v>1962</v>
      </c>
      <c r="D24" s="475"/>
      <c r="E24" s="473"/>
      <c r="F24" s="2857">
        <f>'数据-取费表'!B38</f>
        <v>0.02</v>
      </c>
      <c r="G24" s="2822" t="s">
        <v>499</v>
      </c>
      <c r="H24" s="2816"/>
      <c r="I24" s="2816"/>
      <c r="J24" s="2816"/>
      <c r="K24" s="279"/>
      <c r="L24" s="2119"/>
      <c r="M24" s="2119"/>
      <c r="N24" s="2119"/>
    </row>
    <row r="25" spans="1:14" s="2120" customFormat="1" ht="13.5" customHeight="1">
      <c r="A25" s="2851" t="s">
        <v>1860</v>
      </c>
      <c r="B25" s="3036" t="s">
        <v>2834</v>
      </c>
      <c r="C25" s="467">
        <f>ROUND(F25/(1+'数据-取费表'!C42),4)</f>
        <v>2.9100000000000001E-2</v>
      </c>
      <c r="D25" s="462" t="s">
        <v>2828</v>
      </c>
      <c r="E25" s="469"/>
      <c r="F25" s="2857">
        <f>'数据-取费表'!B48+'数据-取费表'!B49</f>
        <v>3.0519999999999999E-2</v>
      </c>
      <c r="G25" s="2821" t="s">
        <v>2290</v>
      </c>
      <c r="H25" s="2814"/>
      <c r="I25" s="2814"/>
      <c r="J25" s="2814"/>
      <c r="K25" s="2815"/>
    </row>
    <row r="26" spans="1:14" s="2119" customFormat="1" ht="13.5" customHeight="1">
      <c r="A26" s="2851" t="s">
        <v>1861</v>
      </c>
      <c r="B26" s="3037" t="s">
        <v>2835</v>
      </c>
      <c r="C26" s="2858">
        <f ca="1">C28</f>
        <v>1010</v>
      </c>
      <c r="D26" s="467">
        <f ca="1">C27</f>
        <v>0.10009999999999999</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1856</v>
      </c>
      <c r="B27" s="2859" t="s">
        <v>496</v>
      </c>
      <c r="C27" s="2860">
        <f ca="1">ROUND(IF('数据-取费表'!B22&lt;=1,(1+C25)*F26*'数据-取费表'!B24,(1+C25)*(POWER((1+F26),'数据-取费表'!B24)-1)),4)</f>
        <v>0.10009999999999999</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1857</v>
      </c>
      <c r="B28" s="2859" t="s">
        <v>2837</v>
      </c>
      <c r="C28" s="2861">
        <f ca="1">ROUND(IF('数据-取费表'!B22&lt;=1,(C18+C19+C20+C23+C24)*F26*'数据-取费表'!B24/2,(C18+C19+C20+C23+C24)*(POWER((1+F26),'数据-取费表'!B24/2)-1)),0)</f>
        <v>1010</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1862</v>
      </c>
      <c r="B29" s="2852" t="s">
        <v>497</v>
      </c>
      <c r="C29" s="2853">
        <f ca="1">ROUND(C6*F29/(1+'数据-取费表'!C42),0)</f>
        <v>5231</v>
      </c>
      <c r="D29" s="468"/>
      <c r="E29" s="468"/>
      <c r="F29" s="3038">
        <f>'数据-取费表'!B41</f>
        <v>5.6000000000000001E-2</v>
      </c>
      <c r="G29" s="2822" t="s">
        <v>498</v>
      </c>
      <c r="H29" s="2814"/>
      <c r="I29" s="2814"/>
      <c r="J29" s="2814"/>
      <c r="K29" s="2815"/>
    </row>
    <row r="30" spans="1:14" s="2122" customFormat="1" ht="13.5" customHeight="1">
      <c r="A30" s="1635" t="s">
        <v>1863</v>
      </c>
      <c r="B30" s="2863" t="s">
        <v>500</v>
      </c>
      <c r="C30" s="2858">
        <f ca="1">C31</f>
        <v>27513</v>
      </c>
      <c r="D30" s="477">
        <f ca="1">C32</f>
        <v>0.12920000000000001</v>
      </c>
      <c r="E30" s="469" t="s">
        <v>495</v>
      </c>
      <c r="F30" s="471"/>
      <c r="G30" s="2821" t="s">
        <v>2966</v>
      </c>
      <c r="H30" s="2814"/>
      <c r="I30" s="2814"/>
      <c r="J30" s="2814"/>
      <c r="K30" s="2815"/>
    </row>
    <row r="31" spans="1:14" s="2121" customFormat="1" ht="13.5" customHeight="1">
      <c r="A31" s="803" t="s">
        <v>1856</v>
      </c>
      <c r="B31" s="2859"/>
      <c r="C31" s="450">
        <f ca="1">C18+C19+C20+C23+C24+C26+C29</f>
        <v>27513</v>
      </c>
      <c r="D31" s="472"/>
      <c r="E31" s="473"/>
      <c r="F31" s="474"/>
      <c r="G31" s="261"/>
      <c r="H31" s="2816"/>
      <c r="I31" s="2816"/>
      <c r="J31" s="2816"/>
      <c r="K31" s="279"/>
    </row>
    <row r="32" spans="1:14" s="2121" customFormat="1" ht="13.5" customHeight="1">
      <c r="A32" s="803" t="s">
        <v>1857</v>
      </c>
      <c r="B32" s="2859"/>
      <c r="C32" s="53">
        <f ca="1">ROUND(C25+D26,4)</f>
        <v>0.12920000000000001</v>
      </c>
      <c r="D32" s="472"/>
      <c r="E32" s="473"/>
      <c r="F32" s="474"/>
      <c r="G32" s="261"/>
      <c r="H32" s="2816"/>
      <c r="I32" s="2816"/>
      <c r="J32" s="2816"/>
      <c r="K32" s="279"/>
    </row>
    <row r="33" spans="1:11" s="2123" customFormat="1" ht="13.5" customHeight="1">
      <c r="A33" s="3035" t="s">
        <v>2832</v>
      </c>
      <c r="B33" s="3033" t="s">
        <v>2830</v>
      </c>
      <c r="C33" s="478">
        <f ca="1">C35</f>
        <v>2127</v>
      </c>
      <c r="D33" s="467">
        <f ca="1">C34</f>
        <v>0.10290000000000001</v>
      </c>
      <c r="E33" s="469" t="s">
        <v>495</v>
      </c>
      <c r="F33" s="479">
        <f ca="1">IF(B1="",'数据-取费表'!Q16,INDIRECT("'数据-取费表'!q"&amp;$K$1))</f>
        <v>0.1</v>
      </c>
      <c r="G33" s="2817"/>
      <c r="H33" s="2818"/>
      <c r="I33" s="2818"/>
      <c r="J33" s="2818"/>
      <c r="K33" s="2819"/>
    </row>
    <row r="34" spans="1:11" s="2124" customFormat="1" ht="13.5" customHeight="1">
      <c r="A34" s="375" t="s">
        <v>1856</v>
      </c>
      <c r="B34" s="2864" t="s">
        <v>501</v>
      </c>
      <c r="C34" s="472">
        <f ca="1">ROUND((1+C25)*F33,4)</f>
        <v>0.10290000000000001</v>
      </c>
      <c r="D34" s="472"/>
      <c r="E34" s="473"/>
      <c r="F34" s="480"/>
      <c r="G34" s="261" t="s">
        <v>2291</v>
      </c>
      <c r="H34" s="2816"/>
      <c r="I34" s="2816"/>
      <c r="J34" s="2816"/>
      <c r="K34" s="279"/>
    </row>
    <row r="35" spans="1:11" s="2124" customFormat="1" ht="13.5" customHeight="1" thickBot="1">
      <c r="A35" s="1636" t="s">
        <v>1857</v>
      </c>
      <c r="B35" s="3034" t="s">
        <v>2838</v>
      </c>
      <c r="C35" s="1628">
        <f ca="1">ROUND((C18+C19+C20+C23+C24)*F33,0)</f>
        <v>2127</v>
      </c>
      <c r="D35" s="1629"/>
      <c r="E35" s="2865"/>
      <c r="F35" s="1630"/>
      <c r="G35" s="2823"/>
      <c r="H35" s="2824"/>
      <c r="I35" s="2824"/>
      <c r="J35" s="2824"/>
      <c r="K35" s="2825"/>
    </row>
    <row r="36" spans="1:11" s="2086" customFormat="1" ht="13.5" customHeight="1" thickBot="1">
      <c r="A36" s="284" t="s">
        <v>1844</v>
      </c>
      <c r="B36" s="2827"/>
      <c r="C36" s="2866">
        <f ca="1">ROUND((C6-C30-C33)/(1+D30+D33),0)</f>
        <v>55549</v>
      </c>
      <c r="D36" s="2827"/>
      <c r="E36" s="2827"/>
      <c r="F36" s="2827"/>
      <c r="G36" s="2826" t="s">
        <v>2839</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10"/>
      <c r="C1" s="2105"/>
      <c r="D1" s="2105"/>
      <c r="E1" s="2105"/>
      <c r="F1" s="2105"/>
      <c r="G1" s="2105"/>
      <c r="H1" s="2105"/>
      <c r="I1" s="2105"/>
      <c r="J1" s="2105"/>
      <c r="K1" s="422">
        <f>MATCH(B1,'数据-取费表'!A6:A16,0)+5</f>
        <v>12</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1684</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2651</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1845</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1847</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1864</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1848</v>
      </c>
      <c r="B13" s="449" t="s">
        <v>479</v>
      </c>
      <c r="C13" s="450">
        <f ca="1">IF(B1="",'数据-取费表'!M16,INDIRECT("'数据-取费表'!M"&amp;$K$1)+INDIRECT("'数据-取费表'!t"&amp;$K$1))</f>
        <v>16145</v>
      </c>
      <c r="D13" s="451"/>
      <c r="E13" s="365"/>
      <c r="F13" s="452"/>
      <c r="G13" s="444"/>
      <c r="H13" s="447"/>
      <c r="I13" s="447"/>
      <c r="J13" s="447"/>
      <c r="K13" s="448"/>
    </row>
    <row r="14" spans="1:41" s="2117" customFormat="1" ht="13.5" customHeight="1">
      <c r="A14" s="1633" t="s">
        <v>1849</v>
      </c>
      <c r="B14" s="449" t="s">
        <v>480</v>
      </c>
      <c r="C14" s="53">
        <f ca="1">ROUND(C13*F14,0)</f>
        <v>484</v>
      </c>
      <c r="D14" s="451"/>
      <c r="E14" s="365"/>
      <c r="F14" s="453">
        <f>'数据-取费表'!B33</f>
        <v>0.03</v>
      </c>
      <c r="G14" s="444" t="s">
        <v>502</v>
      </c>
      <c r="H14" s="447"/>
      <c r="I14" s="447"/>
      <c r="J14" s="447"/>
      <c r="K14" s="448"/>
    </row>
    <row r="15" spans="1:41" s="2117" customFormat="1" ht="13.5" customHeight="1">
      <c r="A15" s="1633" t="s">
        <v>1850</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8" customFormat="1" ht="13.5" customHeight="1">
      <c r="A16" s="1633" t="s">
        <v>1851</v>
      </c>
      <c r="B16" s="449" t="s">
        <v>484</v>
      </c>
      <c r="C16" s="53">
        <f ca="1">ROUND(D16*E16/10000,0)</f>
        <v>1030</v>
      </c>
      <c r="D16" s="451">
        <f ca="1">IF(B1="",'数据-汇总表'!E3,INDIRECT("'数据-取费表'!K"&amp;$K$1)+INDIRECT("'数据-取费表'!S"&amp;$K$1))</f>
        <v>51512</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1852</v>
      </c>
      <c r="B17" s="449" t="s">
        <v>485</v>
      </c>
      <c r="C17" s="454">
        <f ca="1">ROUND(C13*F17,0)</f>
        <v>242</v>
      </c>
      <c r="D17" s="455"/>
      <c r="E17" s="454"/>
      <c r="F17" s="456">
        <f>'数据-取费表'!B36</f>
        <v>1.4999999999999999E-2</v>
      </c>
      <c r="G17" s="444" t="s">
        <v>502</v>
      </c>
      <c r="H17" s="457"/>
      <c r="I17" s="457"/>
      <c r="J17" s="457"/>
      <c r="K17" s="458"/>
    </row>
    <row r="18" spans="1:14" s="2120" customFormat="1" ht="13.5" customHeight="1">
      <c r="A18" s="1634" t="s">
        <v>1853</v>
      </c>
      <c r="B18" s="459" t="s">
        <v>487</v>
      </c>
      <c r="C18" s="460">
        <f ca="1">SUM(C13:C17)</f>
        <v>17901</v>
      </c>
      <c r="D18" s="461"/>
      <c r="E18" s="462"/>
      <c r="F18" s="462"/>
      <c r="G18" s="1327" t="s">
        <v>2432</v>
      </c>
      <c r="H18" s="447"/>
      <c r="I18" s="447"/>
      <c r="J18" s="447"/>
      <c r="K18" s="448"/>
    </row>
    <row r="19" spans="1:14" s="2120" customFormat="1" ht="13.5" customHeight="1">
      <c r="A19" s="1634" t="s">
        <v>1854</v>
      </c>
      <c r="B19" s="459" t="s">
        <v>493</v>
      </c>
      <c r="C19" s="460">
        <f ca="1">ROUND(C18*F19,0)</f>
        <v>358</v>
      </c>
      <c r="D19" s="462"/>
      <c r="E19" s="462"/>
      <c r="F19" s="466">
        <f>'数据-取费表'!B37</f>
        <v>0.02</v>
      </c>
      <c r="G19" s="444" t="s">
        <v>503</v>
      </c>
      <c r="H19" s="447"/>
      <c r="I19" s="447"/>
      <c r="J19" s="447"/>
      <c r="K19" s="448"/>
      <c r="L19" s="2122"/>
      <c r="M19" s="2122"/>
      <c r="N19" s="2122"/>
    </row>
    <row r="20" spans="1:14" s="2120" customFormat="1" ht="13.5" customHeight="1">
      <c r="A20" s="1634" t="s">
        <v>1855</v>
      </c>
      <c r="B20" s="459" t="s">
        <v>504</v>
      </c>
      <c r="C20" s="3031">
        <f>F20</f>
        <v>0.02</v>
      </c>
      <c r="D20" s="469" t="s">
        <v>505</v>
      </c>
      <c r="E20" s="469"/>
      <c r="F20" s="486">
        <f>'数据-取费表'!B38</f>
        <v>0.02</v>
      </c>
      <c r="G20" s="1327" t="s">
        <v>506</v>
      </c>
      <c r="H20" s="447"/>
      <c r="I20" s="447"/>
      <c r="J20" s="447"/>
      <c r="K20" s="448"/>
      <c r="L20" s="2122"/>
      <c r="M20" s="2122"/>
      <c r="N20" s="2122"/>
    </row>
    <row r="21" spans="1:14" s="2122" customFormat="1" ht="13.5" customHeight="1">
      <c r="A21" s="1634" t="s">
        <v>1858</v>
      </c>
      <c r="B21" s="461" t="s">
        <v>494</v>
      </c>
      <c r="C21" s="470">
        <f ca="1">C22</f>
        <v>867</v>
      </c>
      <c r="D21" s="467">
        <f ca="1">C23</f>
        <v>1E-3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2454</v>
      </c>
    </row>
    <row r="22" spans="1:14" s="2121" customFormat="1" ht="13.5" customHeight="1">
      <c r="A22" s="1633" t="s">
        <v>1848</v>
      </c>
      <c r="B22" s="1328" t="s">
        <v>2435</v>
      </c>
      <c r="C22" s="487">
        <f ca="1">ROUND(IF('数据-取费表'!B22&lt;=1,(C18+C19)*F21*'数据-取费表'!B20/2,(C18+C19)*(POWER((1+F21),'数据-取费表'!B20/2)-1)),0)</f>
        <v>867</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1849</v>
      </c>
      <c r="B23" s="1328" t="s">
        <v>508</v>
      </c>
      <c r="C23" s="488">
        <f ca="1">ROUND(IF('数据-取费表'!B22&lt;=1,F20*F21*'数据-取费表'!B20/2,F20*(POWER((1+F21),'数据-取费表'!B20/2)-1)),4)</f>
        <v>1E-3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1859</v>
      </c>
      <c r="B24" s="3033" t="s">
        <v>2831</v>
      </c>
      <c r="C24" s="478">
        <f ca="1">C25</f>
        <v>1826</v>
      </c>
      <c r="D24" s="489">
        <f ca="1">C26</f>
        <v>2E-3</v>
      </c>
      <c r="E24" s="469" t="s">
        <v>507</v>
      </c>
      <c r="F24" s="479">
        <f ca="1">IF(B1="",'数据-取费表'!Q16,INDIRECT("'数据-取费表'!q"&amp;$K$1))</f>
        <v>0.1</v>
      </c>
      <c r="G24" s="444"/>
      <c r="H24" s="447"/>
      <c r="I24" s="447"/>
      <c r="J24" s="447"/>
      <c r="K24" s="448"/>
    </row>
    <row r="25" spans="1:14" s="2121" customFormat="1" ht="13.5" customHeight="1">
      <c r="A25" s="1633" t="s">
        <v>1848</v>
      </c>
      <c r="B25" s="1328" t="s">
        <v>2436</v>
      </c>
      <c r="C25" s="490">
        <f ca="1">ROUND((C18+C19)*F24,0)</f>
        <v>1826</v>
      </c>
      <c r="D25" s="472"/>
      <c r="E25" s="473"/>
      <c r="F25" s="480"/>
      <c r="G25" s="1326" t="s">
        <v>2433</v>
      </c>
      <c r="H25" s="457"/>
      <c r="I25" s="457"/>
      <c r="J25" s="457"/>
      <c r="K25" s="458"/>
    </row>
    <row r="26" spans="1:14" s="2121" customFormat="1" ht="13.5" customHeight="1">
      <c r="A26" s="1633" t="s">
        <v>1849</v>
      </c>
      <c r="B26" s="1328" t="s">
        <v>509</v>
      </c>
      <c r="C26" s="491">
        <f ca="1">ROUND(F20*F24,4)</f>
        <v>2E-3</v>
      </c>
      <c r="D26" s="472"/>
      <c r="E26" s="481"/>
      <c r="F26" s="480"/>
      <c r="G26" s="1326" t="s">
        <v>510</v>
      </c>
      <c r="H26" s="457"/>
      <c r="I26" s="457"/>
      <c r="J26" s="457"/>
      <c r="K26" s="458"/>
    </row>
    <row r="27" spans="1:14" s="2121" customFormat="1" ht="13.5" customHeight="1">
      <c r="A27" s="1637" t="s">
        <v>1867</v>
      </c>
      <c r="B27" s="459" t="s">
        <v>511</v>
      </c>
      <c r="C27" s="3032">
        <f>ROUND(F27/(1+'数据-取费表'!C42),4)</f>
        <v>5.33E-2</v>
      </c>
      <c r="D27" s="462" t="s">
        <v>2829</v>
      </c>
      <c r="E27" s="462"/>
      <c r="F27" s="466">
        <f>'数据-取费表'!B41</f>
        <v>5.6000000000000001E-2</v>
      </c>
      <c r="G27" s="1961" t="s">
        <v>2292</v>
      </c>
      <c r="H27" s="447"/>
      <c r="I27" s="447"/>
      <c r="J27" s="447"/>
      <c r="K27" s="448"/>
    </row>
    <row r="28" spans="1:14" s="2122" customFormat="1" ht="13.5" customHeight="1">
      <c r="A28" s="1637" t="s">
        <v>1868</v>
      </c>
      <c r="B28" s="476" t="s">
        <v>512</v>
      </c>
      <c r="C28" s="470">
        <f ca="1">ROUND((C18+C19+C21+C24)/(1-C20-D21-D24-C27),0)</f>
        <v>22683</v>
      </c>
      <c r="D28" s="477"/>
      <c r="E28" s="469"/>
      <c r="F28" s="471"/>
      <c r="G28" s="1327" t="s">
        <v>2434</v>
      </c>
      <c r="H28" s="447"/>
      <c r="I28" s="447"/>
      <c r="J28" s="447"/>
      <c r="K28" s="448"/>
    </row>
    <row r="29" spans="1:14" s="2122" customFormat="1" ht="13.5" customHeight="1">
      <c r="A29" s="1637" t="s">
        <v>1869</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83" t="s">
        <v>1865</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4" t="s">
        <v>2967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1685</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521</v>
      </c>
      <c r="B6" s="513"/>
      <c r="C6" s="3400" t="s">
        <v>522</v>
      </c>
      <c r="D6" s="3401"/>
      <c r="E6" s="3435" t="s">
        <v>523</v>
      </c>
      <c r="F6" s="3436"/>
      <c r="G6" s="3400" t="s">
        <v>524</v>
      </c>
      <c r="H6" s="3401"/>
      <c r="I6" s="3400" t="s">
        <v>525</v>
      </c>
      <c r="J6" s="3401"/>
      <c r="K6" s="514" t="s">
        <v>526</v>
      </c>
      <c r="L6" s="2134"/>
      <c r="M6" s="2135"/>
      <c r="N6" s="2135"/>
      <c r="O6" s="2135"/>
      <c r="P6" s="3402" t="s">
        <v>527</v>
      </c>
      <c r="Q6" s="3403"/>
      <c r="R6" s="3408" t="s">
        <v>523</v>
      </c>
      <c r="S6" s="3409"/>
      <c r="T6" s="3408" t="s">
        <v>524</v>
      </c>
      <c r="U6" s="3409"/>
      <c r="V6" s="3395" t="s">
        <v>525</v>
      </c>
      <c r="W6" s="3395"/>
      <c r="X6" s="1567"/>
      <c r="Y6" s="3408" t="s">
        <v>527</v>
      </c>
      <c r="Z6" s="3409"/>
      <c r="AA6" s="3397" t="s">
        <v>523</v>
      </c>
      <c r="AB6" s="3398" t="s">
        <v>524</v>
      </c>
      <c r="AC6" s="3397" t="s">
        <v>525</v>
      </c>
    </row>
    <row r="7" spans="1:29" ht="15">
      <c r="A7" s="515"/>
      <c r="B7" s="516"/>
      <c r="C7" s="3416" t="s">
        <v>2922</v>
      </c>
      <c r="D7" s="3417"/>
      <c r="E7" s="3437" t="s">
        <v>2923</v>
      </c>
      <c r="F7" s="3438"/>
      <c r="G7" s="3416" t="s">
        <v>2924</v>
      </c>
      <c r="H7" s="3417"/>
      <c r="I7" s="3416" t="s">
        <v>2925</v>
      </c>
      <c r="J7" s="3417"/>
      <c r="K7" s="514"/>
      <c r="L7" s="2134"/>
      <c r="M7" s="2135"/>
      <c r="N7" s="2135"/>
      <c r="O7" s="2135"/>
      <c r="P7" s="3404"/>
      <c r="Q7" s="3405"/>
      <c r="R7" s="3410"/>
      <c r="S7" s="3411"/>
      <c r="T7" s="3410"/>
      <c r="U7" s="3411"/>
      <c r="V7" s="3395"/>
      <c r="W7" s="3395"/>
      <c r="X7" s="1567"/>
      <c r="Y7" s="3410"/>
      <c r="Z7" s="3411"/>
      <c r="AA7" s="3398"/>
      <c r="AB7" s="3398"/>
      <c r="AC7" s="3398"/>
    </row>
    <row r="8" spans="1:29" ht="15.75" thickBot="1">
      <c r="A8" s="517"/>
      <c r="B8" s="518"/>
      <c r="C8" s="3431" t="s">
        <v>2926</v>
      </c>
      <c r="D8" s="3432"/>
      <c r="E8" s="3433" t="s">
        <v>2926</v>
      </c>
      <c r="F8" s="3434"/>
      <c r="G8" s="3431" t="s">
        <v>2926</v>
      </c>
      <c r="H8" s="3432"/>
      <c r="I8" s="3431" t="s">
        <v>2926</v>
      </c>
      <c r="J8" s="3432"/>
      <c r="K8" s="514" t="s">
        <v>528</v>
      </c>
      <c r="L8" s="2134"/>
      <c r="M8" s="2135"/>
      <c r="N8" s="2135"/>
      <c r="O8" s="2135"/>
      <c r="P8" s="3406"/>
      <c r="Q8" s="3407"/>
      <c r="R8" s="3410"/>
      <c r="S8" s="3411"/>
      <c r="T8" s="3412"/>
      <c r="U8" s="3413"/>
      <c r="V8" s="3395"/>
      <c r="W8" s="3395"/>
      <c r="X8" s="1567"/>
      <c r="Y8" s="3412"/>
      <c r="Z8" s="3413"/>
      <c r="AA8" s="3399"/>
      <c r="AB8" s="3399"/>
      <c r="AC8" s="3399"/>
    </row>
    <row r="9" spans="1:29" s="1220" customFormat="1" ht="15.75" thickBot="1">
      <c r="A9" s="2913"/>
      <c r="B9" s="2920" t="s">
        <v>529</v>
      </c>
      <c r="C9" s="519">
        <f>'数据-取费表'!B2</f>
        <v>43402</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24" t="s">
        <v>530</v>
      </c>
      <c r="Q9" s="3426"/>
      <c r="R9" s="1568" t="s">
        <v>8</v>
      </c>
      <c r="S9" s="1569">
        <f t="shared" ref="S9:S17" si="0">F9</f>
        <v>0</v>
      </c>
      <c r="T9" s="1568" t="s">
        <v>8</v>
      </c>
      <c r="U9" s="1569">
        <f t="shared" ref="U9:U17" si="1">H9</f>
        <v>0</v>
      </c>
      <c r="V9" s="1568" t="s">
        <v>8</v>
      </c>
      <c r="W9" s="1569">
        <f t="shared" ref="W9:W17" si="2">J9</f>
        <v>0</v>
      </c>
      <c r="X9" s="1570"/>
      <c r="Y9" s="3424" t="s">
        <v>530</v>
      </c>
      <c r="Z9" s="3425"/>
      <c r="AA9" s="1571" t="e">
        <f>D9/F9</f>
        <v>#DIV/0!</v>
      </c>
      <c r="AB9" s="1571" t="e">
        <f>D9/H9</f>
        <v>#DIV/0!</v>
      </c>
      <c r="AC9" s="1571" t="e">
        <f>D9/J9</f>
        <v>#DIV/0!</v>
      </c>
    </row>
    <row r="10" spans="1:29" s="1220"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24" t="s">
        <v>533</v>
      </c>
      <c r="Q10" s="3425"/>
      <c r="R10" s="1568" t="s">
        <v>8</v>
      </c>
      <c r="S10" s="1569">
        <f t="shared" si="0"/>
        <v>0</v>
      </c>
      <c r="T10" s="1568" t="s">
        <v>8</v>
      </c>
      <c r="U10" s="1569">
        <f t="shared" si="1"/>
        <v>0</v>
      </c>
      <c r="V10" s="1568" t="s">
        <v>8</v>
      </c>
      <c r="W10" s="1569">
        <f t="shared" si="2"/>
        <v>0</v>
      </c>
      <c r="X10" s="1570"/>
      <c r="Y10" s="3424" t="s">
        <v>533</v>
      </c>
      <c r="Z10" s="3425"/>
      <c r="AA10" s="1571" t="e">
        <f t="shared" ref="AA10:AA42" si="3">D10/F10</f>
        <v>#DIV/0!</v>
      </c>
      <c r="AB10" s="1571" t="e">
        <f t="shared" ref="AB10:AB42" si="4">D10/H10</f>
        <v>#DIV/0!</v>
      </c>
      <c r="AC10" s="1571" t="e">
        <f t="shared" ref="AC10:AC42" si="5">D10/J10</f>
        <v>#DIV/0!</v>
      </c>
    </row>
    <row r="11" spans="1:29" s="1220" customFormat="1" ht="15">
      <c r="A11" s="2915"/>
      <c r="B11" s="2922" t="s">
        <v>2755</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94" t="s">
        <v>535</v>
      </c>
      <c r="Q11" s="1151" t="str">
        <f t="shared" ref="Q11:Q17" si="6">B11</f>
        <v>用途</v>
      </c>
      <c r="R11" s="1568" t="s">
        <v>8</v>
      </c>
      <c r="S11" s="1569">
        <f t="shared" si="0"/>
        <v>100</v>
      </c>
      <c r="T11" s="1568" t="s">
        <v>8</v>
      </c>
      <c r="U11" s="1569">
        <f t="shared" si="1"/>
        <v>100</v>
      </c>
      <c r="V11" s="1568" t="s">
        <v>8</v>
      </c>
      <c r="W11" s="1569">
        <f t="shared" si="2"/>
        <v>100</v>
      </c>
      <c r="X11" s="1570"/>
      <c r="Y11" s="3322" t="s">
        <v>536</v>
      </c>
      <c r="Z11" s="1150" t="str">
        <f t="shared" ref="Z11:Z17" si="7">Q11</f>
        <v>用途</v>
      </c>
      <c r="AA11" s="1571">
        <f t="shared" si="3"/>
        <v>1</v>
      </c>
      <c r="AB11" s="1571">
        <f t="shared" si="4"/>
        <v>1</v>
      </c>
      <c r="AC11" s="1571">
        <f t="shared" si="5"/>
        <v>1</v>
      </c>
    </row>
    <row r="12" spans="1:29" s="1338" customFormat="1" ht="27">
      <c r="A12" s="2916"/>
      <c r="B12" s="2921" t="s">
        <v>2756</v>
      </c>
      <c r="C12" s="528"/>
      <c r="D12" s="255">
        <v>100</v>
      </c>
      <c r="E12" s="528"/>
      <c r="F12" s="255">
        <f>ROUND(100/'数据-取费表'!G16,0)</f>
        <v>101</v>
      </c>
      <c r="G12" s="528"/>
      <c r="H12" s="255">
        <f>ROUND(100/'数据-取费表'!G16,0)</f>
        <v>101</v>
      </c>
      <c r="I12" s="528"/>
      <c r="J12" s="255">
        <f>ROUND(100/'数据-取费表'!G16,0)</f>
        <v>101</v>
      </c>
      <c r="K12" s="531"/>
      <c r="L12" s="2139"/>
      <c r="M12" s="2179"/>
      <c r="N12" s="2179"/>
      <c r="O12" s="2140"/>
      <c r="P12" s="3394"/>
      <c r="Q12" s="1151" t="str">
        <f t="shared" si="6"/>
        <v>土地使用年限（年）</v>
      </c>
      <c r="R12" s="1568" t="s">
        <v>8</v>
      </c>
      <c r="S12" s="1569">
        <f t="shared" si="0"/>
        <v>101</v>
      </c>
      <c r="T12" s="1568" t="s">
        <v>8</v>
      </c>
      <c r="U12" s="1569">
        <f t="shared" si="1"/>
        <v>101</v>
      </c>
      <c r="V12" s="1568" t="s">
        <v>8</v>
      </c>
      <c r="W12" s="1569">
        <f t="shared" si="2"/>
        <v>101</v>
      </c>
      <c r="X12" s="1570"/>
      <c r="Y12" s="3322"/>
      <c r="Z12" s="1150" t="str">
        <f t="shared" si="7"/>
        <v>土地使用年限（年）</v>
      </c>
      <c r="AA12" s="1571">
        <f t="shared" si="3"/>
        <v>0.99009900990099009</v>
      </c>
      <c r="AB12" s="1571">
        <f t="shared" si="4"/>
        <v>0.99009900990099009</v>
      </c>
      <c r="AC12" s="1571">
        <f t="shared" si="5"/>
        <v>0.99009900990099009</v>
      </c>
    </row>
    <row r="13" spans="1:29" ht="15">
      <c r="A13" s="2917"/>
      <c r="B13" s="2921"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94"/>
      <c r="Q13" s="1151" t="str">
        <f t="shared" si="6"/>
        <v>容积率</v>
      </c>
      <c r="R13" s="1568" t="s">
        <v>8</v>
      </c>
      <c r="S13" s="1569" t="e">
        <f t="shared" si="0"/>
        <v>#N/A</v>
      </c>
      <c r="T13" s="1568" t="s">
        <v>8</v>
      </c>
      <c r="U13" s="1569" t="e">
        <f t="shared" si="1"/>
        <v>#N/A</v>
      </c>
      <c r="V13" s="1568" t="s">
        <v>8</v>
      </c>
      <c r="W13" s="1569" t="e">
        <f t="shared" si="2"/>
        <v>#N/A</v>
      </c>
      <c r="X13" s="1570"/>
      <c r="Y13" s="3322"/>
      <c r="Z13" s="1150" t="str">
        <f t="shared" si="7"/>
        <v>容积率</v>
      </c>
      <c r="AA13" s="1571" t="e">
        <f t="shared" si="3"/>
        <v>#N/A</v>
      </c>
      <c r="AB13" s="1571" t="e">
        <f t="shared" si="4"/>
        <v>#N/A</v>
      </c>
      <c r="AC13" s="1571"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94"/>
      <c r="Q14" s="1151">
        <f t="shared" si="6"/>
        <v>111</v>
      </c>
      <c r="R14" s="1568" t="s">
        <v>8</v>
      </c>
      <c r="S14" s="1569">
        <f t="shared" si="0"/>
        <v>100</v>
      </c>
      <c r="T14" s="1568" t="s">
        <v>8</v>
      </c>
      <c r="U14" s="1569">
        <f t="shared" si="1"/>
        <v>100</v>
      </c>
      <c r="V14" s="1568" t="s">
        <v>8</v>
      </c>
      <c r="W14" s="1569">
        <f t="shared" si="2"/>
        <v>100</v>
      </c>
      <c r="X14" s="1570"/>
      <c r="Y14" s="3322"/>
      <c r="Z14" s="1150">
        <f t="shared" si="7"/>
        <v>111</v>
      </c>
      <c r="AA14" s="1571">
        <f>D14/F14</f>
        <v>1</v>
      </c>
      <c r="AB14" s="1571">
        <f>D14/H14</f>
        <v>1</v>
      </c>
      <c r="AC14" s="1571">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94"/>
      <c r="Q15" s="1151">
        <f t="shared" si="6"/>
        <v>111</v>
      </c>
      <c r="R15" s="1568" t="s">
        <v>8</v>
      </c>
      <c r="S15" s="1569">
        <f t="shared" si="0"/>
        <v>100</v>
      </c>
      <c r="T15" s="1568" t="s">
        <v>8</v>
      </c>
      <c r="U15" s="1569">
        <f t="shared" si="1"/>
        <v>100</v>
      </c>
      <c r="V15" s="1568" t="s">
        <v>8</v>
      </c>
      <c r="W15" s="1569">
        <f t="shared" si="2"/>
        <v>100</v>
      </c>
      <c r="X15" s="1570"/>
      <c r="Y15" s="3322"/>
      <c r="Z15" s="1150">
        <f t="shared" si="7"/>
        <v>111</v>
      </c>
      <c r="AA15" s="1571">
        <f t="shared" si="3"/>
        <v>1</v>
      </c>
      <c r="AB15" s="1571">
        <f t="shared" si="4"/>
        <v>1</v>
      </c>
      <c r="AC15" s="1571">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94"/>
      <c r="Q16" s="1151">
        <f t="shared" si="6"/>
        <v>111</v>
      </c>
      <c r="R16" s="1568" t="s">
        <v>8</v>
      </c>
      <c r="S16" s="1569">
        <f t="shared" si="0"/>
        <v>100</v>
      </c>
      <c r="T16" s="1568" t="s">
        <v>8</v>
      </c>
      <c r="U16" s="1569">
        <f t="shared" si="1"/>
        <v>100</v>
      </c>
      <c r="V16" s="1568" t="s">
        <v>8</v>
      </c>
      <c r="W16" s="1569">
        <f t="shared" si="2"/>
        <v>100</v>
      </c>
      <c r="X16" s="1570"/>
      <c r="Y16" s="3322"/>
      <c r="Z16" s="1150">
        <f t="shared" si="7"/>
        <v>111</v>
      </c>
      <c r="AA16" s="1571">
        <f t="shared" si="3"/>
        <v>1</v>
      </c>
      <c r="AB16" s="1571">
        <f t="shared" si="4"/>
        <v>1</v>
      </c>
      <c r="AC16" s="1571">
        <f t="shared" si="5"/>
        <v>1</v>
      </c>
    </row>
    <row r="17" spans="1:29" ht="57">
      <c r="A17" s="2911"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27" t="s">
        <v>540</v>
      </c>
      <c r="Q17" s="1572" t="str">
        <f t="shared" si="6"/>
        <v>产业集聚程度</v>
      </c>
      <c r="R17" s="1573" t="s">
        <v>8</v>
      </c>
      <c r="S17" s="1574">
        <f t="shared" si="0"/>
        <v>100</v>
      </c>
      <c r="T17" s="1573" t="s">
        <v>8</v>
      </c>
      <c r="U17" s="1574">
        <f t="shared" si="1"/>
        <v>100</v>
      </c>
      <c r="V17" s="1573" t="s">
        <v>8</v>
      </c>
      <c r="W17" s="1574">
        <f t="shared" si="2"/>
        <v>100</v>
      </c>
      <c r="X17" s="1567"/>
      <c r="Y17" s="3427"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428"/>
      <c r="Q18" s="1572"/>
      <c r="R18" s="1573"/>
      <c r="S18" s="1574"/>
      <c r="T18" s="1573"/>
      <c r="U18" s="1574"/>
      <c r="V18" s="1573"/>
      <c r="W18" s="1574"/>
      <c r="X18" s="1567"/>
      <c r="Y18" s="3428"/>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28"/>
      <c r="Q19" s="1572" t="str">
        <f>B19</f>
        <v>交通便捷度</v>
      </c>
      <c r="R19" s="1573" t="s">
        <v>8</v>
      </c>
      <c r="S19" s="1574">
        <f>F19</f>
        <v>100</v>
      </c>
      <c r="T19" s="1573" t="s">
        <v>8</v>
      </c>
      <c r="U19" s="1574">
        <f>H19</f>
        <v>100</v>
      </c>
      <c r="V19" s="1573" t="s">
        <v>8</v>
      </c>
      <c r="W19" s="1574">
        <f>J19</f>
        <v>100</v>
      </c>
      <c r="X19" s="1567"/>
      <c r="Y19" s="3428"/>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428"/>
      <c r="Q20" s="1572"/>
      <c r="R20" s="1573"/>
      <c r="S20" s="1574"/>
      <c r="T20" s="1573"/>
      <c r="U20" s="1574"/>
      <c r="V20" s="1573"/>
      <c r="W20" s="1574"/>
      <c r="X20" s="1567"/>
      <c r="Y20" s="3428"/>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28"/>
      <c r="Q21" s="1572" t="str">
        <f t="shared" ref="Q21:Q35" si="8">B21</f>
        <v>区域土地利用方向</v>
      </c>
      <c r="R21" s="1573" t="s">
        <v>8</v>
      </c>
      <c r="S21" s="1574">
        <f>F21</f>
        <v>100</v>
      </c>
      <c r="T21" s="1573" t="s">
        <v>8</v>
      </c>
      <c r="U21" s="1574">
        <f>H21</f>
        <v>100</v>
      </c>
      <c r="V21" s="1573" t="s">
        <v>8</v>
      </c>
      <c r="W21" s="1574">
        <f>J21</f>
        <v>100</v>
      </c>
      <c r="X21" s="1567"/>
      <c r="Y21" s="3428"/>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428"/>
      <c r="Q22" s="1572"/>
      <c r="R22" s="1573"/>
      <c r="S22" s="1574"/>
      <c r="T22" s="1573"/>
      <c r="U22" s="1574"/>
      <c r="V22" s="1573"/>
      <c r="W22" s="1574"/>
      <c r="X22" s="1567"/>
      <c r="Y22" s="3428"/>
      <c r="Z22" s="1575"/>
      <c r="AA22" s="1576"/>
      <c r="AB22" s="1576"/>
      <c r="AC22" s="1576"/>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28"/>
      <c r="Q23" s="1572" t="str">
        <f t="shared" si="8"/>
        <v>环境状况</v>
      </c>
      <c r="R23" s="1573" t="s">
        <v>8</v>
      </c>
      <c r="S23" s="1574">
        <f>F23</f>
        <v>100</v>
      </c>
      <c r="T23" s="1573" t="s">
        <v>8</v>
      </c>
      <c r="U23" s="1574">
        <f>H23</f>
        <v>100</v>
      </c>
      <c r="V23" s="1573" t="s">
        <v>8</v>
      </c>
      <c r="W23" s="1574">
        <f>J23</f>
        <v>100</v>
      </c>
      <c r="X23" s="1567"/>
      <c r="Y23" s="3428"/>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428"/>
      <c r="Q24" s="1572"/>
      <c r="R24" s="1573"/>
      <c r="S24" s="1574"/>
      <c r="T24" s="1573"/>
      <c r="U24" s="1574"/>
      <c r="V24" s="1573"/>
      <c r="W24" s="1574"/>
      <c r="X24" s="1567"/>
      <c r="Y24" s="3428"/>
      <c r="Z24" s="1575"/>
      <c r="AA24" s="1576">
        <v>1</v>
      </c>
      <c r="AB24" s="1576">
        <v>1</v>
      </c>
      <c r="AC24" s="1576">
        <v>1</v>
      </c>
    </row>
    <row r="25" spans="1:29" s="1220" customFormat="1" ht="42.75">
      <c r="A25" s="577"/>
      <c r="B25" s="2594"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28"/>
      <c r="Q25" s="1151" t="str">
        <f t="shared" si="8"/>
        <v>公共配套设施</v>
      </c>
      <c r="R25" s="1568" t="s">
        <v>8</v>
      </c>
      <c r="S25" s="1569">
        <f>F25</f>
        <v>100</v>
      </c>
      <c r="T25" s="1568" t="s">
        <v>8</v>
      </c>
      <c r="U25" s="1569">
        <f>H25</f>
        <v>100</v>
      </c>
      <c r="V25" s="1568" t="s">
        <v>8</v>
      </c>
      <c r="W25" s="1569">
        <f>J25</f>
        <v>100</v>
      </c>
      <c r="X25" s="1570"/>
      <c r="Y25" s="3428"/>
      <c r="Z25" s="1150" t="str">
        <f>Q25</f>
        <v>公共配套设施</v>
      </c>
      <c r="AA25" s="1576">
        <f>D25/F25</f>
        <v>1</v>
      </c>
      <c r="AB25" s="1576">
        <f>D25/H25</f>
        <v>1</v>
      </c>
      <c r="AC25" s="1576">
        <f>D25/J25</f>
        <v>1</v>
      </c>
    </row>
    <row r="26" spans="1:29" s="1220" customFormat="1" ht="15">
      <c r="A26" s="577"/>
      <c r="B26" s="595"/>
      <c r="C26" s="2593"/>
      <c r="D26" s="555"/>
      <c r="E26" s="554"/>
      <c r="F26" s="555"/>
      <c r="G26" s="554"/>
      <c r="H26" s="555"/>
      <c r="I26" s="576"/>
      <c r="J26" s="555"/>
      <c r="K26" s="531"/>
      <c r="L26" s="2136"/>
      <c r="M26" s="2137"/>
      <c r="N26" s="2137"/>
      <c r="O26" s="2138"/>
      <c r="P26" s="3428"/>
      <c r="Q26" s="1151"/>
      <c r="R26" s="1568"/>
      <c r="S26" s="1569"/>
      <c r="T26" s="1568"/>
      <c r="U26" s="1569"/>
      <c r="V26" s="1568"/>
      <c r="W26" s="1569"/>
      <c r="X26" s="1570"/>
      <c r="Y26" s="3428"/>
      <c r="Z26" s="1150"/>
      <c r="AA26" s="1571">
        <v>1</v>
      </c>
      <c r="AB26" s="1571">
        <v>1</v>
      </c>
      <c r="AC26" s="1571">
        <v>1</v>
      </c>
    </row>
    <row r="27" spans="1:29" s="1220" customFormat="1" ht="28.5">
      <c r="A27" s="577"/>
      <c r="B27" s="2594"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28"/>
      <c r="Q27" s="2579" t="str">
        <f t="shared" ref="Q27" si="9">B27</f>
        <v>基础设施水平</v>
      </c>
      <c r="R27" s="1568" t="s">
        <v>8</v>
      </c>
      <c r="S27" s="1569">
        <f>F27</f>
        <v>100</v>
      </c>
      <c r="T27" s="1568" t="s">
        <v>8</v>
      </c>
      <c r="U27" s="1569">
        <f>H27</f>
        <v>100</v>
      </c>
      <c r="V27" s="1568" t="s">
        <v>8</v>
      </c>
      <c r="W27" s="1569">
        <f>J27</f>
        <v>100</v>
      </c>
      <c r="X27" s="1570"/>
      <c r="Y27" s="3428"/>
      <c r="Z27" s="2576" t="str">
        <f>Q27</f>
        <v>基础设施水平</v>
      </c>
      <c r="AA27" s="1576">
        <f>D27/F27</f>
        <v>1</v>
      </c>
      <c r="AB27" s="1576">
        <f>D27/H27</f>
        <v>1</v>
      </c>
      <c r="AC27" s="1576">
        <f>D27/J27</f>
        <v>1</v>
      </c>
    </row>
    <row r="28" spans="1:29" s="1220" customFormat="1" ht="15">
      <c r="A28" s="577"/>
      <c r="B28" s="595"/>
      <c r="C28" s="2593"/>
      <c r="D28" s="555"/>
      <c r="E28" s="579"/>
      <c r="F28" s="555"/>
      <c r="G28" s="579"/>
      <c r="H28" s="555"/>
      <c r="I28" s="579"/>
      <c r="J28" s="555"/>
      <c r="K28" s="531"/>
      <c r="L28" s="2136"/>
      <c r="M28" s="2137"/>
      <c r="N28" s="2137"/>
      <c r="O28" s="2138"/>
      <c r="P28" s="3428"/>
      <c r="Q28" s="2579"/>
      <c r="R28" s="1568"/>
      <c r="S28" s="1569"/>
      <c r="T28" s="1568"/>
      <c r="U28" s="1569"/>
      <c r="V28" s="1568"/>
      <c r="W28" s="1569"/>
      <c r="X28" s="1570"/>
      <c r="Y28" s="3428"/>
      <c r="Z28" s="2576"/>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28"/>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28"/>
      <c r="Z29" s="1575" t="str">
        <f t="shared" ref="Z29:Z42" si="13">Q29</f>
        <v>临街状况</v>
      </c>
      <c r="AA29" s="1576">
        <f t="shared" si="3"/>
        <v>1</v>
      </c>
      <c r="AB29" s="1576">
        <f t="shared" si="4"/>
        <v>1</v>
      </c>
      <c r="AC29" s="1576">
        <f t="shared" si="5"/>
        <v>1</v>
      </c>
    </row>
    <row r="30" spans="1:29" ht="27">
      <c r="A30" s="532"/>
      <c r="B30" s="922"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28"/>
      <c r="Q30" s="1572" t="str">
        <f t="shared" si="8"/>
        <v>毗邻道路的类型与等级</v>
      </c>
      <c r="R30" s="1573" t="s">
        <v>8</v>
      </c>
      <c r="S30" s="1574">
        <f t="shared" si="10"/>
        <v>100</v>
      </c>
      <c r="T30" s="1573" t="s">
        <v>8</v>
      </c>
      <c r="U30" s="1574">
        <f t="shared" si="11"/>
        <v>100</v>
      </c>
      <c r="V30" s="1573" t="s">
        <v>8</v>
      </c>
      <c r="W30" s="1574">
        <f t="shared" si="12"/>
        <v>100</v>
      </c>
      <c r="X30" s="1567"/>
      <c r="Y30" s="3428"/>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428"/>
      <c r="Q31" s="1572"/>
      <c r="R31" s="1573"/>
      <c r="S31" s="1574"/>
      <c r="T31" s="1573"/>
      <c r="U31" s="1574"/>
      <c r="V31" s="1573"/>
      <c r="W31" s="1574"/>
      <c r="X31" s="1567"/>
      <c r="Y31" s="3428"/>
      <c r="Z31" s="1575"/>
      <c r="AA31" s="1576">
        <v>1</v>
      </c>
      <c r="AB31" s="1576">
        <v>1</v>
      </c>
      <c r="AC31" s="1576">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28"/>
      <c r="Q32" s="1572" t="str">
        <f t="shared" si="8"/>
        <v>土地级别</v>
      </c>
      <c r="R32" s="1573" t="s">
        <v>8</v>
      </c>
      <c r="S32" s="1574">
        <f t="shared" si="10"/>
        <v>100</v>
      </c>
      <c r="T32" s="1573" t="s">
        <v>8</v>
      </c>
      <c r="U32" s="1574">
        <f t="shared" si="11"/>
        <v>100</v>
      </c>
      <c r="V32" s="1573" t="s">
        <v>8</v>
      </c>
      <c r="W32" s="1574">
        <f t="shared" si="12"/>
        <v>100</v>
      </c>
      <c r="X32" s="1567"/>
      <c r="Y32" s="3428"/>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28"/>
      <c r="Q33" s="1572">
        <f t="shared" si="8"/>
        <v>111</v>
      </c>
      <c r="R33" s="1573" t="s">
        <v>8</v>
      </c>
      <c r="S33" s="1574">
        <f t="shared" si="10"/>
        <v>100</v>
      </c>
      <c r="T33" s="1573" t="s">
        <v>8</v>
      </c>
      <c r="U33" s="1574">
        <f t="shared" si="11"/>
        <v>100</v>
      </c>
      <c r="V33" s="1573" t="s">
        <v>8</v>
      </c>
      <c r="W33" s="1574">
        <f t="shared" si="12"/>
        <v>100</v>
      </c>
      <c r="X33" s="1567"/>
      <c r="Y33" s="3428"/>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29" t="s">
        <v>550</v>
      </c>
      <c r="Q34" s="1572">
        <f t="shared" si="8"/>
        <v>111</v>
      </c>
      <c r="R34" s="1573" t="s">
        <v>8</v>
      </c>
      <c r="S34" s="1574">
        <f t="shared" si="10"/>
        <v>100</v>
      </c>
      <c r="T34" s="1573" t="s">
        <v>8</v>
      </c>
      <c r="U34" s="1574">
        <f t="shared" si="11"/>
        <v>100</v>
      </c>
      <c r="V34" s="1573" t="s">
        <v>8</v>
      </c>
      <c r="W34" s="1574">
        <f t="shared" si="12"/>
        <v>100</v>
      </c>
      <c r="X34" s="1567"/>
      <c r="Y34" s="3430" t="s">
        <v>550</v>
      </c>
      <c r="Z34" s="1575">
        <f t="shared" si="13"/>
        <v>111</v>
      </c>
      <c r="AA34" s="1576">
        <f t="shared" si="3"/>
        <v>1</v>
      </c>
      <c r="AB34" s="1576">
        <f t="shared" si="4"/>
        <v>1</v>
      </c>
      <c r="AC34" s="1576">
        <f t="shared" si="5"/>
        <v>1</v>
      </c>
    </row>
    <row r="35" spans="1:29" s="1339"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30"/>
      <c r="Q35" s="1572">
        <f t="shared" si="8"/>
        <v>111</v>
      </c>
      <c r="R35" s="1577" t="s">
        <v>8</v>
      </c>
      <c r="S35" s="1578">
        <f t="shared" si="10"/>
        <v>100</v>
      </c>
      <c r="T35" s="1577" t="s">
        <v>8</v>
      </c>
      <c r="U35" s="1578">
        <f t="shared" si="11"/>
        <v>100</v>
      </c>
      <c r="V35" s="1577" t="s">
        <v>8</v>
      </c>
      <c r="W35" s="1578">
        <f t="shared" si="12"/>
        <v>100</v>
      </c>
      <c r="X35" s="1579"/>
      <c r="Y35" s="3430"/>
      <c r="Z35" s="1580">
        <f t="shared" si="13"/>
        <v>111</v>
      </c>
      <c r="AA35" s="1576">
        <f t="shared" si="3"/>
        <v>1</v>
      </c>
      <c r="AB35" s="1576">
        <f t="shared" si="4"/>
        <v>1</v>
      </c>
      <c r="AC35" s="1576">
        <f t="shared" si="5"/>
        <v>1</v>
      </c>
    </row>
    <row r="36" spans="1:29" ht="15">
      <c r="A36" s="2908"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30"/>
      <c r="Q36" s="1572" t="str">
        <f>B36</f>
        <v>宗地面积</v>
      </c>
      <c r="R36" s="1573" t="s">
        <v>8</v>
      </c>
      <c r="S36" s="1574" t="e">
        <f t="shared" si="10"/>
        <v>#N/A</v>
      </c>
      <c r="T36" s="1573" t="s">
        <v>8</v>
      </c>
      <c r="U36" s="1574" t="e">
        <f t="shared" si="11"/>
        <v>#N/A</v>
      </c>
      <c r="V36" s="1573" t="s">
        <v>8</v>
      </c>
      <c r="W36" s="1574" t="e">
        <f t="shared" si="12"/>
        <v>#N/A</v>
      </c>
      <c r="X36" s="1567"/>
      <c r="Y36" s="3430"/>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30"/>
      <c r="Q37" s="1572" t="str">
        <f t="shared" ref="Q37:Q42" si="14">B37</f>
        <v>宗地形状</v>
      </c>
      <c r="R37" s="1573" t="s">
        <v>8</v>
      </c>
      <c r="S37" s="1574">
        <f t="shared" si="10"/>
        <v>100</v>
      </c>
      <c r="T37" s="1573" t="s">
        <v>8</v>
      </c>
      <c r="U37" s="1574">
        <f t="shared" si="11"/>
        <v>100</v>
      </c>
      <c r="V37" s="1573" t="s">
        <v>8</v>
      </c>
      <c r="W37" s="1574">
        <f t="shared" si="12"/>
        <v>100</v>
      </c>
      <c r="X37" s="1567"/>
      <c r="Y37" s="3430"/>
      <c r="Z37" s="1575" t="str">
        <f t="shared" si="13"/>
        <v>宗地形状</v>
      </c>
      <c r="AA37" s="1576">
        <f t="shared" si="3"/>
        <v>1</v>
      </c>
      <c r="AB37" s="1576">
        <f t="shared" si="4"/>
        <v>1</v>
      </c>
      <c r="AC37" s="1576">
        <f t="shared" si="5"/>
        <v>1</v>
      </c>
    </row>
    <row r="38" spans="1:29" s="1220" customFormat="1" ht="15">
      <c r="A38" s="600"/>
      <c r="B38" s="1896"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30"/>
      <c r="Q38" s="1572" t="str">
        <f t="shared" si="14"/>
        <v>宗地开发程度</v>
      </c>
      <c r="R38" s="1568" t="s">
        <v>8</v>
      </c>
      <c r="S38" s="1569">
        <f t="shared" si="10"/>
        <v>100</v>
      </c>
      <c r="T38" s="1568" t="s">
        <v>8</v>
      </c>
      <c r="U38" s="1569">
        <f t="shared" si="11"/>
        <v>100</v>
      </c>
      <c r="V38" s="1568" t="s">
        <v>8</v>
      </c>
      <c r="W38" s="1569">
        <f t="shared" si="12"/>
        <v>100</v>
      </c>
      <c r="X38" s="1570"/>
      <c r="Y38" s="3430"/>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30" t="s">
        <v>601</v>
      </c>
      <c r="Q39" s="1572" t="str">
        <f t="shared" si="14"/>
        <v>工程地质条件</v>
      </c>
      <c r="R39" s="1573" t="s">
        <v>8</v>
      </c>
      <c r="S39" s="1574">
        <f t="shared" si="10"/>
        <v>100</v>
      </c>
      <c r="T39" s="1573" t="s">
        <v>8</v>
      </c>
      <c r="U39" s="1574">
        <f t="shared" si="11"/>
        <v>100</v>
      </c>
      <c r="V39" s="1573" t="s">
        <v>8</v>
      </c>
      <c r="W39" s="1574">
        <f t="shared" si="12"/>
        <v>100</v>
      </c>
      <c r="X39" s="1567"/>
      <c r="Y39" s="3430"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30"/>
      <c r="Q40" s="1572">
        <f t="shared" si="14"/>
        <v>111</v>
      </c>
      <c r="R40" s="1573" t="s">
        <v>8</v>
      </c>
      <c r="S40" s="1574">
        <f t="shared" si="10"/>
        <v>100</v>
      </c>
      <c r="T40" s="1573" t="s">
        <v>8</v>
      </c>
      <c r="U40" s="1574">
        <f t="shared" si="11"/>
        <v>100</v>
      </c>
      <c r="V40" s="1573" t="s">
        <v>8</v>
      </c>
      <c r="W40" s="1574">
        <f t="shared" si="12"/>
        <v>100</v>
      </c>
      <c r="X40" s="1567"/>
      <c r="Y40" s="3430"/>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30"/>
      <c r="Q41" s="1572">
        <f t="shared" si="14"/>
        <v>111</v>
      </c>
      <c r="R41" s="1573" t="s">
        <v>8</v>
      </c>
      <c r="S41" s="1574">
        <f t="shared" si="10"/>
        <v>100</v>
      </c>
      <c r="T41" s="1573" t="s">
        <v>8</v>
      </c>
      <c r="U41" s="1574">
        <f t="shared" si="11"/>
        <v>100</v>
      </c>
      <c r="V41" s="1573" t="s">
        <v>8</v>
      </c>
      <c r="W41" s="1574">
        <f t="shared" si="12"/>
        <v>100</v>
      </c>
      <c r="X41" s="1567"/>
      <c r="Y41" s="3430"/>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30"/>
      <c r="Q42" s="1572">
        <f t="shared" si="14"/>
        <v>111</v>
      </c>
      <c r="R42" s="1577" t="s">
        <v>8</v>
      </c>
      <c r="S42" s="1578">
        <f t="shared" si="10"/>
        <v>100</v>
      </c>
      <c r="T42" s="1577" t="s">
        <v>8</v>
      </c>
      <c r="U42" s="1578">
        <f t="shared" si="11"/>
        <v>100</v>
      </c>
      <c r="V42" s="1577" t="s">
        <v>8</v>
      </c>
      <c r="W42" s="1578">
        <f t="shared" si="12"/>
        <v>100</v>
      </c>
      <c r="X42" s="1579"/>
      <c r="Y42" s="3430"/>
      <c r="Z42" s="1580">
        <f t="shared" si="13"/>
        <v>111</v>
      </c>
      <c r="AA42" s="1576">
        <f t="shared" si="3"/>
        <v>1</v>
      </c>
      <c r="AB42" s="1576">
        <f t="shared" si="4"/>
        <v>1</v>
      </c>
      <c r="AC42" s="1576">
        <f t="shared" si="5"/>
        <v>1</v>
      </c>
    </row>
    <row r="43" spans="1:29" ht="15">
      <c r="A43" s="607" t="s">
        <v>556</v>
      </c>
      <c r="B43" s="608" t="s">
        <v>2927</v>
      </c>
      <c r="C43" s="609" t="s">
        <v>1</v>
      </c>
      <c r="D43" s="610"/>
      <c r="E43" s="611"/>
      <c r="F43" s="612"/>
      <c r="G43" s="613"/>
      <c r="H43" s="614"/>
      <c r="I43" s="611"/>
      <c r="J43" s="614"/>
      <c r="K43" s="1340"/>
      <c r="L43" s="2145"/>
      <c r="M43" s="2135"/>
      <c r="N43" s="2135"/>
      <c r="O43" s="2146"/>
      <c r="P43" s="3394" t="str">
        <f>A43</f>
        <v>成交单价</v>
      </c>
      <c r="Q43" s="3394"/>
      <c r="R43" s="3395">
        <f>E43</f>
        <v>0</v>
      </c>
      <c r="S43" s="3395"/>
      <c r="T43" s="3395">
        <f>G43</f>
        <v>0</v>
      </c>
      <c r="U43" s="3395"/>
      <c r="V43" s="3395">
        <f>I43</f>
        <v>0</v>
      </c>
      <c r="W43" s="3395"/>
      <c r="X43" s="1559"/>
      <c r="Y43" s="1581"/>
      <c r="Z43" s="1559"/>
      <c r="AA43" s="1559"/>
      <c r="AB43" s="1559"/>
      <c r="AC43" s="1559"/>
    </row>
    <row r="44" spans="1:29" ht="15.75" thickBot="1">
      <c r="A44" s="615" t="s">
        <v>2692</v>
      </c>
      <c r="B44" s="616"/>
      <c r="C44" s="617" t="e">
        <f>R45</f>
        <v>#DIV/0!</v>
      </c>
      <c r="D44" s="618"/>
      <c r="E44" s="617" t="e">
        <f>R44</f>
        <v>#DIV/0!</v>
      </c>
      <c r="F44" s="619"/>
      <c r="G44" s="620" t="e">
        <f>T44</f>
        <v>#DIV/0!</v>
      </c>
      <c r="H44" s="618"/>
      <c r="I44" s="617" t="e">
        <f>V44</f>
        <v>#DIV/0!</v>
      </c>
      <c r="J44" s="618"/>
      <c r="K44" s="1341"/>
      <c r="L44" s="2145"/>
      <c r="M44" s="2135"/>
      <c r="N44" s="2135"/>
      <c r="O44" s="2146"/>
      <c r="P44" s="3394" t="str">
        <f>A44</f>
        <v>比较价格（元/平方米）</v>
      </c>
      <c r="Q44" s="3394"/>
      <c r="R44" s="3396" t="e">
        <f>ROUND(PRODUCT(R43,AA9:AA42),0)</f>
        <v>#DIV/0!</v>
      </c>
      <c r="S44" s="3396"/>
      <c r="T44" s="3396" t="e">
        <f>ROUND(PRODUCT(T43,AB9:AB42),0)</f>
        <v>#DIV/0!</v>
      </c>
      <c r="U44" s="3396"/>
      <c r="V44" s="3396" t="e">
        <f>ROUND(PRODUCT(V43,AC9:AC42),0)</f>
        <v>#DIV/0!</v>
      </c>
      <c r="W44" s="3396"/>
      <c r="X44" s="1559"/>
      <c r="Y44" s="1559"/>
      <c r="Z44" s="1559"/>
      <c r="AA44" s="1559"/>
      <c r="AB44" s="1559"/>
      <c r="AC44" s="1559"/>
    </row>
    <row r="45" spans="1:29" ht="15.75" thickBot="1">
      <c r="A45" s="621" t="s">
        <v>2928</v>
      </c>
      <c r="B45" s="622"/>
      <c r="C45" s="623" t="e">
        <f>R45</f>
        <v>#DIV/0!</v>
      </c>
      <c r="D45" s="623"/>
      <c r="E45" s="623"/>
      <c r="F45" s="623"/>
      <c r="G45" s="623"/>
      <c r="H45" s="623"/>
      <c r="I45" s="623"/>
      <c r="J45" s="623"/>
      <c r="K45" s="1342"/>
      <c r="L45" s="2145"/>
      <c r="M45" s="2135"/>
      <c r="N45" s="2135"/>
      <c r="O45" s="2146"/>
      <c r="P45" s="3391" t="str">
        <f>A45</f>
        <v>估价对象XX用房的比较价格（楼面单价，元/平方米）</v>
      </c>
      <c r="Q45" s="3392"/>
      <c r="R45" s="3393" t="e">
        <f>ROUND(AVERAGE(R44:V44),0)</f>
        <v>#DIV/0!</v>
      </c>
      <c r="S45" s="3393"/>
      <c r="T45" s="3393"/>
      <c r="U45" s="3393"/>
      <c r="V45" s="3393"/>
      <c r="W45" s="3393"/>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0" t="s">
        <v>1724</v>
      </c>
      <c r="D52" s="2228" t="s">
        <v>2294</v>
      </c>
      <c r="E52" s="631" t="s">
        <v>562</v>
      </c>
      <c r="F52" s="1952" t="s">
        <v>563</v>
      </c>
      <c r="G52" s="3439" t="s">
        <v>2285</v>
      </c>
      <c r="H52" s="3440"/>
      <c r="I52" s="1953" t="s">
        <v>1947</v>
      </c>
      <c r="J52" s="1555">
        <f>项目基本情况!F41</f>
        <v>0</v>
      </c>
      <c r="K52" s="2155" t="s">
        <v>1723</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16051</v>
      </c>
      <c r="F53" s="1951" t="e">
        <f t="shared" ref="F53:F62" si="15">ROUND(B53*E53/10000,0)</f>
        <v>#DIV/0!</v>
      </c>
      <c r="G53" s="3441"/>
      <c r="H53" s="3442"/>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0.7</v>
      </c>
      <c r="D54" s="2230">
        <v>0.25</v>
      </c>
      <c r="E54" s="639"/>
      <c r="F54" s="1951" t="e">
        <f t="shared" si="15"/>
        <v>#DIV/0!</v>
      </c>
      <c r="G54" s="3443" t="s">
        <v>2286</v>
      </c>
      <c r="H54" s="1955" t="str">
        <f>项目基本情况!B43</f>
        <v>四级</v>
      </c>
      <c r="I54" s="1954">
        <f>SUMIF(修正!$A$45:$A$56,H54,修正!B45:B56)</f>
        <v>0.7</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0.4</v>
      </c>
      <c r="D55" s="2230">
        <v>0.25</v>
      </c>
      <c r="E55" s="639"/>
      <c r="F55" s="1951" t="e">
        <f t="shared" si="15"/>
        <v>#DIV/0!</v>
      </c>
      <c r="G55" s="3443"/>
      <c r="H55" s="1956" t="str">
        <f>项目基本情况!B43</f>
        <v>四级</v>
      </c>
      <c r="I55" s="1954">
        <f>SUMIF(修正!$A$45:$A$56,H55,修正!C45:C56)</f>
        <v>0.4</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0.28000000000000003</v>
      </c>
      <c r="D56" s="2230">
        <v>0.25</v>
      </c>
      <c r="E56" s="639"/>
      <c r="F56" s="1951" t="e">
        <f t="shared" si="15"/>
        <v>#DIV/0!</v>
      </c>
      <c r="G56" s="3443"/>
      <c r="H56" s="1956" t="str">
        <f>项目基本情况!B43</f>
        <v>四级</v>
      </c>
      <c r="I56" s="1954">
        <f>SUMIF(修正!$A$45:$A$56,H56,修正!D45:D56)</f>
        <v>0.28000000000000003</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0.25</v>
      </c>
      <c r="D57" s="2230">
        <v>0.25</v>
      </c>
      <c r="E57" s="639"/>
      <c r="F57" s="1951" t="e">
        <f t="shared" si="15"/>
        <v>#DIV/0!</v>
      </c>
      <c r="G57" s="3443"/>
      <c r="H57" s="1956" t="str">
        <f>项目基本情况!B43</f>
        <v>四级</v>
      </c>
      <c r="I57" s="1954">
        <f>SUMIF(修正!$A$45:$A$56,H57,修正!E45:E56)</f>
        <v>0.25</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2328</v>
      </c>
      <c r="B58" s="638" t="e">
        <f t="shared" si="17"/>
        <v>#DIV/0!</v>
      </c>
      <c r="C58" s="378">
        <f t="shared" si="16"/>
        <v>0.25</v>
      </c>
      <c r="D58" s="2230">
        <v>0.25</v>
      </c>
      <c r="E58" s="641">
        <f>'数据-汇总表'!E11</f>
        <v>0</v>
      </c>
      <c r="F58" s="1951" t="e">
        <f t="shared" si="15"/>
        <v>#DIV/0!</v>
      </c>
      <c r="G58" s="1957" t="s">
        <v>2287</v>
      </c>
      <c r="H58" s="1956" t="str">
        <f>项目基本情况!C43</f>
        <v>四级</v>
      </c>
      <c r="I58" s="1954">
        <f>SUMIF(修正!$A$45:$A$56,H58,修正!F45:F56)</f>
        <v>0.25</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0.25</v>
      </c>
      <c r="D59" s="2230">
        <v>0.25</v>
      </c>
      <c r="E59" s="641">
        <f>'数据-汇总表'!E12</f>
        <v>0</v>
      </c>
      <c r="F59" s="1951" t="e">
        <f t="shared" si="15"/>
        <v>#DIV/0!</v>
      </c>
      <c r="G59" s="1947" t="s">
        <v>1678</v>
      </c>
      <c r="H59" s="1955" t="str">
        <f>IF(G59="商业",项目基本情况!B43,IF(G59="办公",项目基本情况!C43,IF(G59="住宅",项目基本情况!D43,项目基本情况!E43)))</f>
        <v>四级</v>
      </c>
      <c r="I59" s="1954">
        <f>SUMIF(修正!$A$45:$A$56,H59,修正!G45:G56)</f>
        <v>0.25</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0.2</v>
      </c>
      <c r="D60" s="2230">
        <v>0.25</v>
      </c>
      <c r="E60" s="641">
        <f>'数据-汇总表'!E13</f>
        <v>18791</v>
      </c>
      <c r="F60" s="1951" t="e">
        <f t="shared" si="15"/>
        <v>#DIV/0!</v>
      </c>
      <c r="G60" s="1947" t="s">
        <v>923</v>
      </c>
      <c r="H60" s="1955" t="str">
        <f>IF(G60="商业",项目基本情况!B43,IF(G60="办公",项目基本情况!C43,IF(G60="住宅",项目基本情况!D43,项目基本情况!E43)))</f>
        <v>四级</v>
      </c>
      <c r="I60" s="1954">
        <f>SUMIF(修正!$A$45:$A$56,H60,修正!H45:H56)</f>
        <v>0.2</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0.2</v>
      </c>
      <c r="D61" s="2230">
        <v>0.25</v>
      </c>
      <c r="E61" s="641">
        <f>'数据-汇总表'!E14</f>
        <v>0</v>
      </c>
      <c r="F61" s="1951" t="e">
        <f t="shared" si="15"/>
        <v>#DIV/0!</v>
      </c>
      <c r="G61" s="1957" t="s">
        <v>2286</v>
      </c>
      <c r="H61" s="1956" t="str">
        <f>项目基本情况!B43</f>
        <v>四级</v>
      </c>
      <c r="I61" s="1954">
        <f>SUMIF(修正!$A$45:$A$56,H61,修正!H45:H56)</f>
        <v>0.2</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0.2</v>
      </c>
      <c r="D62" s="2230">
        <v>0.25</v>
      </c>
      <c r="E62" s="641">
        <f>'数据-汇总表'!E15</f>
        <v>0</v>
      </c>
      <c r="F62" s="1951" t="e">
        <f t="shared" si="15"/>
        <v>#DIV/0!</v>
      </c>
      <c r="G62" s="1958" t="s">
        <v>2287</v>
      </c>
      <c r="H62" s="1959" t="str">
        <f>项目基本情况!C43</f>
        <v>四级</v>
      </c>
      <c r="I62" s="1954">
        <f>SUMIF(修正!$A$45:$A$56,H62,修正!H45:H56)</f>
        <v>0.2</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20439.419999999998</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2018-10-1</v>
      </c>
      <c r="D65" s="2800">
        <f>EDATE(C65,-3)</f>
        <v>43282</v>
      </c>
      <c r="E65" s="2800">
        <f t="shared" ref="E65:N65" si="18">EDATE(D65,-3)</f>
        <v>43191</v>
      </c>
      <c r="F65" s="2800">
        <f t="shared" si="18"/>
        <v>43101</v>
      </c>
      <c r="G65" s="2800">
        <f t="shared" si="18"/>
        <v>43009</v>
      </c>
      <c r="H65" s="2800">
        <f t="shared" si="18"/>
        <v>42917</v>
      </c>
      <c r="I65" s="2800">
        <f t="shared" si="18"/>
        <v>42826</v>
      </c>
      <c r="J65" s="2800">
        <f t="shared" si="18"/>
        <v>42736</v>
      </c>
      <c r="K65" s="2800">
        <f t="shared" si="18"/>
        <v>42644</v>
      </c>
      <c r="L65" s="2800">
        <f t="shared" si="18"/>
        <v>42552</v>
      </c>
      <c r="M65" s="2800">
        <f t="shared" si="18"/>
        <v>42461</v>
      </c>
      <c r="N65" s="2800">
        <f t="shared" si="18"/>
        <v>42370</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69" t="s">
        <v>2533</v>
      </c>
      <c r="B67" s="646"/>
      <c r="C67" s="2795" t="str">
        <f>YEAR(C65)&amp;"-"&amp;ROUNDUP(MONTH(C65)/3,0)</f>
        <v>2018-4</v>
      </c>
      <c r="D67" s="2802" t="str">
        <f t="shared" ref="D67:N67" si="19">YEAR(D65)&amp;"-"&amp;ROUNDUP(MONTH(D65)/3,0)</f>
        <v>2018-3</v>
      </c>
      <c r="E67" s="2802" t="str">
        <f t="shared" si="19"/>
        <v>2018-2</v>
      </c>
      <c r="F67" s="2802" t="str">
        <f t="shared" si="19"/>
        <v>2018-1</v>
      </c>
      <c r="G67" s="2802" t="str">
        <f t="shared" si="19"/>
        <v>2017-4</v>
      </c>
      <c r="H67" s="2802" t="str">
        <f t="shared" si="19"/>
        <v>2017-3</v>
      </c>
      <c r="I67" s="2802" t="str">
        <f t="shared" si="19"/>
        <v>2017-2</v>
      </c>
      <c r="J67" s="2802" t="str">
        <f t="shared" si="19"/>
        <v>2017-1</v>
      </c>
      <c r="K67" s="2802" t="str">
        <f t="shared" si="19"/>
        <v>2016-4</v>
      </c>
      <c r="L67" s="2802" t="str">
        <f t="shared" si="19"/>
        <v>2016-3</v>
      </c>
      <c r="M67" s="2802" t="str">
        <f t="shared" si="19"/>
        <v>2016-2</v>
      </c>
      <c r="N67" s="2802" t="str">
        <f t="shared" si="19"/>
        <v>2016-1</v>
      </c>
      <c r="O67" s="2160"/>
      <c r="P67" s="2161"/>
      <c r="Q67" s="2162"/>
      <c r="R67" s="2162"/>
      <c r="S67" s="2162"/>
      <c r="T67" s="2162"/>
      <c r="U67" s="2162"/>
      <c r="V67" s="2162"/>
      <c r="W67" s="2162"/>
      <c r="X67" s="2162"/>
      <c r="Y67" s="2162"/>
      <c r="Z67" s="2162"/>
      <c r="AA67" s="2162"/>
      <c r="AB67" s="2162"/>
      <c r="AC67" s="2162"/>
    </row>
    <row r="68" spans="1:29" s="1220" customFormat="1" ht="27.75" customHeight="1">
      <c r="A68" s="2799" t="s">
        <v>2648</v>
      </c>
      <c r="B68" s="479" t="str">
        <f>"北京市平均增长率"&amp;TEXT(基准地价!P24,"0.00%")</f>
        <v>北京市平均增长率1.42%</v>
      </c>
      <c r="C68" s="894">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2548</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98" t="s">
        <v>2550</v>
      </c>
      <c r="C95" s="2599" t="s">
        <v>2551</v>
      </c>
      <c r="D95" s="2599" t="s">
        <v>2552</v>
      </c>
      <c r="E95" s="2599" t="s">
        <v>2553</v>
      </c>
      <c r="F95" s="2599" t="s">
        <v>2554</v>
      </c>
      <c r="G95" s="2599" t="s">
        <v>2555</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4" t="str">
        <f t="shared" si="25"/>
        <v>(含)-</v>
      </c>
      <c r="L109" s="3095" t="str">
        <f t="shared" si="25"/>
        <v>(含)-</v>
      </c>
      <c r="M109" s="3096"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2425</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2" priority="14" stopIfTrue="1" operator="containsText" text="超过">
      <formula>NOT(ISERROR(SEARCH("超过",F48)))</formula>
    </cfRule>
  </conditionalFormatting>
  <conditionalFormatting sqref="J50">
    <cfRule type="containsText" dxfId="151" priority="13" stopIfTrue="1" operator="containsText" text="超过">
      <formula>NOT(ISERROR(SEARCH("超过",J50)))</formula>
    </cfRule>
  </conditionalFormatting>
  <conditionalFormatting sqref="H50">
    <cfRule type="containsText" dxfId="150" priority="12" stopIfTrue="1" operator="containsText" text="超过">
      <formula>NOT(ISERROR(SEARCH("超过",H50)))</formula>
    </cfRule>
  </conditionalFormatting>
  <conditionalFormatting sqref="F50">
    <cfRule type="containsText" dxfId="149" priority="11" stopIfTrue="1" operator="containsText" text="超过">
      <formula>NOT(ISERROR(SEARCH("超过",F50)))</formula>
    </cfRule>
  </conditionalFormatting>
  <conditionalFormatting sqref="F49 H49 J49">
    <cfRule type="containsText" dxfId="148" priority="10" stopIfTrue="1" operator="containsText" text="超过">
      <formula>NOT(ISERROR(SEARCH("超过",F49)))</formula>
    </cfRule>
  </conditionalFormatting>
  <conditionalFormatting sqref="E48">
    <cfRule type="expression" dxfId="147" priority="9" stopIfTrue="1">
      <formula>$F$48="超过30%"</formula>
    </cfRule>
  </conditionalFormatting>
  <conditionalFormatting sqref="G50">
    <cfRule type="expression" dxfId="146" priority="8" stopIfTrue="1">
      <formula>$H$50="超过30%"</formula>
    </cfRule>
  </conditionalFormatting>
  <conditionalFormatting sqref="E50">
    <cfRule type="expression" dxfId="145" priority="6" stopIfTrue="1">
      <formula>$F$50="超过30%"</formula>
    </cfRule>
  </conditionalFormatting>
  <conditionalFormatting sqref="G48">
    <cfRule type="expression" dxfId="144" priority="5" stopIfTrue="1">
      <formula>$H$48="超过30%"</formula>
    </cfRule>
  </conditionalFormatting>
  <conditionalFormatting sqref="G49">
    <cfRule type="expression" dxfId="143" priority="4" stopIfTrue="1">
      <formula>$H$49="超过20%"</formula>
    </cfRule>
  </conditionalFormatting>
  <conditionalFormatting sqref="I48">
    <cfRule type="expression" dxfId="142" priority="3" stopIfTrue="1">
      <formula>$J$48="超过30%"</formula>
    </cfRule>
  </conditionalFormatting>
  <conditionalFormatting sqref="I49">
    <cfRule type="expression" dxfId="141" priority="2" stopIfTrue="1">
      <formula>$J$49="超过20%"</formula>
    </cfRule>
  </conditionalFormatting>
  <conditionalFormatting sqref="I50">
    <cfRule type="expression" dxfId="140" priority="1" stopIfTrue="1">
      <formula>$J$50="超过30%"</formula>
    </cfRule>
  </conditionalFormatting>
  <conditionalFormatting sqref="E49">
    <cfRule type="expression" dxfId="13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387" t="s">
        <v>1008</v>
      </c>
      <c r="B18" s="1154" t="s">
        <v>1447</v>
      </c>
      <c r="C18" s="1131" t="s">
        <v>1448</v>
      </c>
      <c r="D18" s="1132"/>
      <c r="E18" s="1154">
        <v>1</v>
      </c>
      <c r="F18" s="1133" t="s">
        <v>1449</v>
      </c>
      <c r="G18" s="1134"/>
      <c r="H18" s="1105"/>
      <c r="I18" s="1105"/>
    </row>
    <row r="19" spans="1:9" s="1599" customFormat="1" ht="19.5" customHeight="1">
      <c r="A19" s="3387"/>
      <c r="B19" s="3387" t="s">
        <v>1450</v>
      </c>
      <c r="C19" s="1131" t="s">
        <v>1451</v>
      </c>
      <c r="D19" s="1132"/>
      <c r="E19" s="1154">
        <v>0.9</v>
      </c>
      <c r="F19" s="1133" t="s">
        <v>1452</v>
      </c>
      <c r="G19" s="1134"/>
      <c r="H19" s="1105"/>
      <c r="I19" s="1105"/>
    </row>
    <row r="20" spans="1:9" s="1599" customFormat="1" ht="19.5" customHeight="1">
      <c r="A20" s="3387"/>
      <c r="B20" s="3387"/>
      <c r="C20" s="1131" t="s">
        <v>1453</v>
      </c>
      <c r="D20" s="1132"/>
      <c r="E20" s="1154">
        <v>1.1000000000000001</v>
      </c>
      <c r="F20" s="1133" t="s">
        <v>1454</v>
      </c>
      <c r="G20" s="1134"/>
      <c r="H20" s="1105"/>
      <c r="I20" s="1105"/>
    </row>
    <row r="21" spans="1:9" s="1599" customFormat="1" ht="19.5" customHeight="1">
      <c r="A21" s="3387"/>
      <c r="B21" s="3387"/>
      <c r="C21" s="1131" t="s">
        <v>1455</v>
      </c>
      <c r="D21" s="1132"/>
      <c r="E21" s="1154">
        <v>0.8</v>
      </c>
      <c r="F21" s="1133" t="s">
        <v>1456</v>
      </c>
      <c r="G21" s="1134"/>
      <c r="H21" s="1105"/>
      <c r="I21" s="1105"/>
    </row>
    <row r="22" spans="1:9" s="1599" customFormat="1" ht="19.5" customHeight="1">
      <c r="A22" s="3387"/>
      <c r="B22" s="3387"/>
      <c r="C22" s="1131" t="s">
        <v>1457</v>
      </c>
      <c r="D22" s="1132"/>
      <c r="E22" s="1154">
        <v>0.5</v>
      </c>
      <c r="F22" s="1133"/>
      <c r="G22" s="1134"/>
      <c r="H22" s="1105"/>
      <c r="I22" s="1105"/>
    </row>
    <row r="23" spans="1:9" s="1599" customFormat="1" ht="19.5" customHeight="1">
      <c r="A23" s="3387" t="s">
        <v>1030</v>
      </c>
      <c r="B23" s="1154" t="s">
        <v>1447</v>
      </c>
      <c r="C23" s="1131" t="s">
        <v>1458</v>
      </c>
      <c r="D23" s="1132"/>
      <c r="E23" s="1154">
        <v>1</v>
      </c>
      <c r="F23" s="1133" t="s">
        <v>1459</v>
      </c>
      <c r="G23" s="1134"/>
      <c r="H23" s="1105"/>
      <c r="I23" s="1105"/>
    </row>
    <row r="24" spans="1:9" s="1599" customFormat="1" ht="19.5" customHeight="1">
      <c r="A24" s="3387"/>
      <c r="B24" s="3387" t="s">
        <v>1450</v>
      </c>
      <c r="C24" s="1131" t="s">
        <v>1460</v>
      </c>
      <c r="D24" s="1132"/>
      <c r="E24" s="1154">
        <v>0.5</v>
      </c>
      <c r="F24" s="1133"/>
      <c r="G24" s="1134"/>
      <c r="H24" s="1105"/>
      <c r="I24" s="1105"/>
    </row>
    <row r="25" spans="1:9" s="1599" customFormat="1" ht="19.5" customHeight="1">
      <c r="A25" s="3387"/>
      <c r="B25" s="3387"/>
      <c r="C25" s="1131" t="s">
        <v>1461</v>
      </c>
      <c r="D25" s="1132"/>
      <c r="E25" s="1154">
        <v>1.1000000000000001</v>
      </c>
      <c r="F25" s="1133"/>
      <c r="G25" s="1134"/>
      <c r="H25" s="1105"/>
      <c r="I25" s="1105"/>
    </row>
    <row r="26" spans="1:9" s="1599" customFormat="1" ht="19.5" customHeight="1">
      <c r="A26" s="3387"/>
      <c r="B26" s="3387"/>
      <c r="C26" s="1131" t="s">
        <v>1462</v>
      </c>
      <c r="D26" s="1132"/>
      <c r="E26" s="1154">
        <v>1.1000000000000001</v>
      </c>
      <c r="F26" s="1133"/>
      <c r="G26" s="1134"/>
      <c r="H26" s="1105"/>
      <c r="I26" s="1105"/>
    </row>
    <row r="27" spans="1:9" s="1599" customFormat="1" ht="19.5" customHeight="1">
      <c r="A27" s="3387"/>
      <c r="B27" s="3387"/>
      <c r="C27" s="1131" t="s">
        <v>1463</v>
      </c>
      <c r="D27" s="1132"/>
      <c r="E27" s="1154">
        <v>0.9</v>
      </c>
      <c r="F27" s="1133" t="s">
        <v>1464</v>
      </c>
      <c r="G27" s="1134"/>
      <c r="H27" s="1105"/>
      <c r="I27" s="1105"/>
    </row>
    <row r="28" spans="1:9" s="1599" customFormat="1" ht="19.5" customHeight="1">
      <c r="A28" s="3387"/>
      <c r="B28" s="3387"/>
      <c r="C28" s="1131" t="s">
        <v>1465</v>
      </c>
      <c r="D28" s="1132"/>
      <c r="E28" s="1154">
        <v>0.9</v>
      </c>
      <c r="F28" s="1133" t="s">
        <v>1466</v>
      </c>
      <c r="G28" s="1134"/>
      <c r="H28" s="1105"/>
      <c r="I28" s="1105"/>
    </row>
    <row r="29" spans="1:9" s="1599" customFormat="1" ht="19.5" customHeight="1">
      <c r="A29" s="3387"/>
      <c r="B29" s="3387"/>
      <c r="C29" s="1131" t="s">
        <v>1467</v>
      </c>
      <c r="D29" s="1132"/>
      <c r="E29" s="1154">
        <v>0.9</v>
      </c>
      <c r="F29" s="1133" t="s">
        <v>1468</v>
      </c>
      <c r="G29" s="1134"/>
      <c r="H29" s="1105"/>
      <c r="I29" s="1105"/>
    </row>
    <row r="30" spans="1:9" s="1599" customFormat="1" ht="19.5" customHeight="1">
      <c r="A30" s="3387"/>
      <c r="B30" s="3387"/>
      <c r="C30" s="1131" t="s">
        <v>1469</v>
      </c>
      <c r="D30" s="1132"/>
      <c r="E30" s="1154">
        <v>0.9</v>
      </c>
      <c r="F30" s="1133" t="s">
        <v>1470</v>
      </c>
      <c r="G30" s="1134"/>
      <c r="H30" s="1105"/>
      <c r="I30" s="1105"/>
    </row>
    <row r="31" spans="1:9" s="1599" customFormat="1" ht="19.5" customHeight="1">
      <c r="A31" s="3387"/>
      <c r="B31" s="3387"/>
      <c r="C31" s="1131" t="s">
        <v>1471</v>
      </c>
      <c r="D31" s="1132"/>
      <c r="E31" s="1154">
        <v>0.8</v>
      </c>
      <c r="F31" s="1133" t="s">
        <v>1472</v>
      </c>
      <c r="G31" s="1134"/>
      <c r="H31" s="1105"/>
      <c r="I31" s="1105"/>
    </row>
    <row r="32" spans="1:9" s="1599" customFormat="1" ht="19.5" customHeight="1">
      <c r="A32" s="3387"/>
      <c r="B32" s="3387"/>
      <c r="C32" s="1131" t="s">
        <v>1473</v>
      </c>
      <c r="D32" s="1132"/>
      <c r="E32" s="1154">
        <v>0.8</v>
      </c>
      <c r="F32" s="1133" t="s">
        <v>1474</v>
      </c>
      <c r="G32" s="1134"/>
      <c r="H32" s="1105"/>
      <c r="I32" s="1105"/>
    </row>
    <row r="33" spans="1:9" s="1599" customFormat="1" ht="19.5" customHeight="1">
      <c r="A33" s="3387" t="s">
        <v>1475</v>
      </c>
      <c r="B33" s="1154" t="s">
        <v>1447</v>
      </c>
      <c r="C33" s="1131" t="s">
        <v>1476</v>
      </c>
      <c r="D33" s="1132"/>
      <c r="E33" s="1154">
        <v>1</v>
      </c>
      <c r="F33" s="1133" t="s">
        <v>1477</v>
      </c>
      <c r="G33" s="1134"/>
      <c r="H33" s="1105"/>
      <c r="I33" s="1105"/>
    </row>
    <row r="34" spans="1:9" s="1599" customFormat="1" ht="19.5" customHeight="1">
      <c r="A34" s="3387"/>
      <c r="B34" s="1154" t="s">
        <v>1450</v>
      </c>
      <c r="C34" s="1131" t="s">
        <v>1478</v>
      </c>
      <c r="D34" s="1132"/>
      <c r="E34" s="1154">
        <v>1.5</v>
      </c>
      <c r="F34" s="1133" t="s">
        <v>1479</v>
      </c>
      <c r="G34" s="1134"/>
      <c r="H34" s="1105"/>
      <c r="I34" s="1105"/>
    </row>
    <row r="35" spans="1:9" s="1599" customFormat="1" ht="19.5" customHeight="1">
      <c r="A35" s="3387" t="s">
        <v>1433</v>
      </c>
      <c r="B35" s="1154" t="s">
        <v>1447</v>
      </c>
      <c r="C35" s="1131" t="s">
        <v>1480</v>
      </c>
      <c r="D35" s="1132"/>
      <c r="E35" s="1154">
        <v>1</v>
      </c>
      <c r="F35" s="1133" t="s">
        <v>1481</v>
      </c>
      <c r="G35" s="1134"/>
      <c r="H35" s="1105"/>
      <c r="I35" s="1105"/>
    </row>
    <row r="36" spans="1:9" s="1599" customFormat="1" ht="19.5" customHeight="1">
      <c r="A36" s="3387"/>
      <c r="B36" s="3387" t="s">
        <v>1450</v>
      </c>
      <c r="C36" s="1131" t="s">
        <v>1482</v>
      </c>
      <c r="D36" s="1132"/>
      <c r="E36" s="1154">
        <v>1</v>
      </c>
      <c r="F36" s="1133" t="s">
        <v>1483</v>
      </c>
      <c r="G36" s="1134"/>
      <c r="H36" s="1105"/>
      <c r="I36" s="1105"/>
    </row>
    <row r="37" spans="1:9" s="1599" customFormat="1" ht="19.5" customHeight="1">
      <c r="A37" s="3387"/>
      <c r="B37" s="3387"/>
      <c r="C37" s="1131" t="s">
        <v>1484</v>
      </c>
      <c r="D37" s="1132"/>
      <c r="E37" s="1154">
        <v>1.5</v>
      </c>
      <c r="F37" s="1133" t="s">
        <v>1485</v>
      </c>
      <c r="G37" s="1134"/>
      <c r="H37" s="1105"/>
      <c r="I37" s="1105"/>
    </row>
    <row r="38" spans="1:9" s="1599" customFormat="1" ht="19.5" customHeight="1">
      <c r="A38" s="3387"/>
      <c r="B38" s="3387"/>
      <c r="C38" s="1131" t="s">
        <v>1486</v>
      </c>
      <c r="D38" s="1132"/>
      <c r="E38" s="1154">
        <v>1</v>
      </c>
      <c r="F38" s="1133" t="s">
        <v>1487</v>
      </c>
      <c r="G38" s="1134"/>
      <c r="H38" s="1105"/>
      <c r="I38" s="1105"/>
    </row>
    <row r="39" spans="1:9" s="1599" customFormat="1" ht="19.5" customHeight="1">
      <c r="A39" s="3387"/>
      <c r="B39" s="3387"/>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387" t="s">
        <v>1502</v>
      </c>
      <c r="C61" s="1068" t="s">
        <v>1503</v>
      </c>
      <c r="D61" s="1068" t="s">
        <v>1504</v>
      </c>
      <c r="E61" s="1139">
        <v>0.5</v>
      </c>
      <c r="F61" s="1154">
        <v>80</v>
      </c>
      <c r="H61" s="1105">
        <f>SUMIF(C59:C119,基准地价!C8,E59:E119)</f>
        <v>0</v>
      </c>
    </row>
    <row r="62" spans="1:8" s="1105" customFormat="1" ht="24">
      <c r="A62" s="1154">
        <v>2</v>
      </c>
      <c r="B62" s="3387"/>
      <c r="C62" s="1068" t="s">
        <v>1505</v>
      </c>
      <c r="D62" s="1068" t="s">
        <v>1506</v>
      </c>
      <c r="E62" s="1139">
        <v>0.5</v>
      </c>
      <c r="F62" s="1154">
        <v>80</v>
      </c>
    </row>
    <row r="63" spans="1:8" s="1105" customFormat="1" ht="36">
      <c r="A63" s="1154">
        <v>3</v>
      </c>
      <c r="B63" s="3387"/>
      <c r="C63" s="1068" t="s">
        <v>1507</v>
      </c>
      <c r="D63" s="1068" t="s">
        <v>1508</v>
      </c>
      <c r="E63" s="1139">
        <v>0.5</v>
      </c>
      <c r="F63" s="1154">
        <v>80</v>
      </c>
    </row>
    <row r="64" spans="1:8" s="1105" customFormat="1" ht="36">
      <c r="A64" s="1154">
        <v>4</v>
      </c>
      <c r="B64" s="3387"/>
      <c r="C64" s="1068" t="s">
        <v>1509</v>
      </c>
      <c r="D64" s="1068" t="s">
        <v>1510</v>
      </c>
      <c r="E64" s="1139">
        <v>0.4</v>
      </c>
      <c r="F64" s="1154">
        <v>60</v>
      </c>
    </row>
    <row r="65" spans="1:6" s="1105" customFormat="1" ht="36">
      <c r="A65" s="1154">
        <v>5</v>
      </c>
      <c r="B65" s="3387"/>
      <c r="C65" s="1068" t="s">
        <v>1511</v>
      </c>
      <c r="D65" s="1068" t="s">
        <v>1512</v>
      </c>
      <c r="E65" s="1139">
        <v>0.2</v>
      </c>
      <c r="F65" s="1154">
        <v>30</v>
      </c>
    </row>
    <row r="66" spans="1:6" s="1105" customFormat="1" ht="36">
      <c r="A66" s="1154">
        <v>6</v>
      </c>
      <c r="B66" s="3387"/>
      <c r="C66" s="1068" t="s">
        <v>1513</v>
      </c>
      <c r="D66" s="1068" t="s">
        <v>1514</v>
      </c>
      <c r="E66" s="1139">
        <v>0.3</v>
      </c>
      <c r="F66" s="1154">
        <v>50</v>
      </c>
    </row>
    <row r="67" spans="1:6" s="1105" customFormat="1" ht="36">
      <c r="A67" s="1154">
        <v>7</v>
      </c>
      <c r="B67" s="3387"/>
      <c r="C67" s="1068" t="s">
        <v>1515</v>
      </c>
      <c r="D67" s="1068" t="s">
        <v>1516</v>
      </c>
      <c r="E67" s="1139">
        <v>0.2</v>
      </c>
      <c r="F67" s="1154">
        <v>30</v>
      </c>
    </row>
    <row r="68" spans="1:6" s="1105" customFormat="1" ht="36">
      <c r="A68" s="1154">
        <v>8</v>
      </c>
      <c r="B68" s="3387"/>
      <c r="C68" s="1068" t="s">
        <v>1517</v>
      </c>
      <c r="D68" s="1068" t="s">
        <v>1518</v>
      </c>
      <c r="E68" s="1139">
        <v>0.2</v>
      </c>
      <c r="F68" s="1154">
        <v>30</v>
      </c>
    </row>
    <row r="69" spans="1:6" s="1105" customFormat="1" ht="36">
      <c r="A69" s="1154">
        <v>9</v>
      </c>
      <c r="B69" s="3387"/>
      <c r="C69" s="1068" t="s">
        <v>1519</v>
      </c>
      <c r="D69" s="1068" t="s">
        <v>1520</v>
      </c>
      <c r="E69" s="1139">
        <v>0.2</v>
      </c>
      <c r="F69" s="1154">
        <v>30</v>
      </c>
    </row>
    <row r="70" spans="1:6" s="1105" customFormat="1" ht="48">
      <c r="A70" s="1154">
        <v>10</v>
      </c>
      <c r="B70" s="3387"/>
      <c r="C70" s="1068" t="s">
        <v>1521</v>
      </c>
      <c r="D70" s="1068" t="s">
        <v>1522</v>
      </c>
      <c r="E70" s="1139">
        <v>0.2</v>
      </c>
      <c r="F70" s="1154">
        <v>30</v>
      </c>
    </row>
    <row r="71" spans="1:6" s="1105" customFormat="1" ht="48">
      <c r="A71" s="1154">
        <v>11</v>
      </c>
      <c r="B71" s="3387"/>
      <c r="C71" s="1068" t="s">
        <v>1523</v>
      </c>
      <c r="D71" s="1068" t="s">
        <v>1524</v>
      </c>
      <c r="E71" s="1139">
        <v>0.2</v>
      </c>
      <c r="F71" s="1154">
        <v>30</v>
      </c>
    </row>
    <row r="72" spans="1:6" s="1105" customFormat="1" ht="36">
      <c r="A72" s="1154">
        <v>12</v>
      </c>
      <c r="B72" s="3387"/>
      <c r="C72" s="1068" t="s">
        <v>1525</v>
      </c>
      <c r="D72" s="1068" t="s">
        <v>1526</v>
      </c>
      <c r="E72" s="1139">
        <v>0.5</v>
      </c>
      <c r="F72" s="1154">
        <v>80</v>
      </c>
    </row>
    <row r="73" spans="1:6" s="1105" customFormat="1" ht="24">
      <c r="A73" s="1154">
        <v>13</v>
      </c>
      <c r="B73" s="3387"/>
      <c r="C73" s="1068" t="s">
        <v>1527</v>
      </c>
      <c r="D73" s="1068" t="s">
        <v>1528</v>
      </c>
      <c r="E73" s="1139">
        <v>0.4</v>
      </c>
      <c r="F73" s="1154">
        <v>60</v>
      </c>
    </row>
    <row r="74" spans="1:6" s="1105" customFormat="1" ht="24">
      <c r="A74" s="1154">
        <v>14</v>
      </c>
      <c r="B74" s="3387"/>
      <c r="C74" s="1068" t="s">
        <v>1529</v>
      </c>
      <c r="D74" s="1068" t="s">
        <v>1530</v>
      </c>
      <c r="E74" s="1139">
        <v>0.2</v>
      </c>
      <c r="F74" s="1154">
        <v>30</v>
      </c>
    </row>
    <row r="75" spans="1:6" s="1105" customFormat="1" ht="24">
      <c r="A75" s="1154">
        <v>15</v>
      </c>
      <c r="B75" s="3387"/>
      <c r="C75" s="1068" t="s">
        <v>1531</v>
      </c>
      <c r="D75" s="1068" t="s">
        <v>1532</v>
      </c>
      <c r="E75" s="1139">
        <v>0.2</v>
      </c>
      <c r="F75" s="1154">
        <v>30</v>
      </c>
    </row>
    <row r="76" spans="1:6" s="1105" customFormat="1" ht="24">
      <c r="A76" s="1154">
        <v>16</v>
      </c>
      <c r="B76" s="3387" t="s">
        <v>1533</v>
      </c>
      <c r="C76" s="1068" t="s">
        <v>1534</v>
      </c>
      <c r="D76" s="1068" t="s">
        <v>1535</v>
      </c>
      <c r="E76" s="1139">
        <v>0.5</v>
      </c>
      <c r="F76" s="1154">
        <v>80</v>
      </c>
    </row>
    <row r="77" spans="1:6" s="1105" customFormat="1" ht="24">
      <c r="A77" s="1154">
        <v>17</v>
      </c>
      <c r="B77" s="3387"/>
      <c r="C77" s="1068" t="s">
        <v>1536</v>
      </c>
      <c r="D77" s="1068" t="s">
        <v>1537</v>
      </c>
      <c r="E77" s="1139">
        <v>0.5</v>
      </c>
      <c r="F77" s="1154">
        <v>80</v>
      </c>
    </row>
    <row r="78" spans="1:6" s="1105" customFormat="1" ht="24">
      <c r="A78" s="1154">
        <v>18</v>
      </c>
      <c r="B78" s="3387"/>
      <c r="C78" s="1068" t="s">
        <v>1538</v>
      </c>
      <c r="D78" s="1068" t="s">
        <v>1539</v>
      </c>
      <c r="E78" s="1139">
        <v>0.2</v>
      </c>
      <c r="F78" s="1154">
        <v>30</v>
      </c>
    </row>
    <row r="79" spans="1:6" s="1105" customFormat="1" ht="24">
      <c r="A79" s="1154">
        <v>19</v>
      </c>
      <c r="B79" s="3387"/>
      <c r="C79" s="1068" t="s">
        <v>1540</v>
      </c>
      <c r="D79" s="1068" t="s">
        <v>1541</v>
      </c>
      <c r="E79" s="1139">
        <v>0.5</v>
      </c>
      <c r="F79" s="1154">
        <v>80</v>
      </c>
    </row>
    <row r="80" spans="1:6" s="1105" customFormat="1" ht="36">
      <c r="A80" s="1154">
        <v>20</v>
      </c>
      <c r="B80" s="3387"/>
      <c r="C80" s="1068" t="s">
        <v>1542</v>
      </c>
      <c r="D80" s="1068" t="s">
        <v>1543</v>
      </c>
      <c r="E80" s="1139">
        <v>0.2</v>
      </c>
      <c r="F80" s="1154">
        <v>30</v>
      </c>
    </row>
    <row r="81" spans="1:6" s="1105" customFormat="1" ht="36">
      <c r="A81" s="1154">
        <v>21</v>
      </c>
      <c r="B81" s="3387"/>
      <c r="C81" s="1068" t="s">
        <v>1544</v>
      </c>
      <c r="D81" s="1068" t="s">
        <v>1545</v>
      </c>
      <c r="E81" s="1139">
        <v>0.2</v>
      </c>
      <c r="F81" s="1154">
        <v>30</v>
      </c>
    </row>
    <row r="82" spans="1:6" s="1105" customFormat="1" ht="48">
      <c r="A82" s="1154">
        <v>22</v>
      </c>
      <c r="B82" s="3387"/>
      <c r="C82" s="1068" t="s">
        <v>1546</v>
      </c>
      <c r="D82" s="1068" t="s">
        <v>1547</v>
      </c>
      <c r="E82" s="1139">
        <v>0.2</v>
      </c>
      <c r="F82" s="1154">
        <v>30</v>
      </c>
    </row>
    <row r="83" spans="1:6" s="1105" customFormat="1" ht="48">
      <c r="A83" s="1154">
        <v>23</v>
      </c>
      <c r="B83" s="3387"/>
      <c r="C83" s="1068" t="s">
        <v>1548</v>
      </c>
      <c r="D83" s="1068" t="s">
        <v>1549</v>
      </c>
      <c r="E83" s="1139">
        <v>0.2</v>
      </c>
      <c r="F83" s="1154">
        <v>30</v>
      </c>
    </row>
    <row r="84" spans="1:6" s="1105" customFormat="1" ht="36">
      <c r="A84" s="1154">
        <v>24</v>
      </c>
      <c r="B84" s="3387"/>
      <c r="C84" s="1068" t="s">
        <v>1550</v>
      </c>
      <c r="D84" s="1068" t="s">
        <v>1551</v>
      </c>
      <c r="E84" s="1139">
        <v>0.2</v>
      </c>
      <c r="F84" s="1154">
        <v>30</v>
      </c>
    </row>
    <row r="85" spans="1:6" s="1105" customFormat="1" ht="36">
      <c r="A85" s="1154">
        <v>25</v>
      </c>
      <c r="B85" s="3387"/>
      <c r="C85" s="1068" t="s">
        <v>1552</v>
      </c>
      <c r="D85" s="1068" t="s">
        <v>1553</v>
      </c>
      <c r="E85" s="1139">
        <v>0.5</v>
      </c>
      <c r="F85" s="1154">
        <v>80</v>
      </c>
    </row>
    <row r="86" spans="1:6" s="1105" customFormat="1" ht="36">
      <c r="A86" s="1154">
        <v>26</v>
      </c>
      <c r="B86" s="3387"/>
      <c r="C86" s="1068" t="s">
        <v>1554</v>
      </c>
      <c r="D86" s="1068" t="s">
        <v>1555</v>
      </c>
      <c r="E86" s="1139">
        <v>0.2</v>
      </c>
      <c r="F86" s="1154">
        <v>30</v>
      </c>
    </row>
    <row r="87" spans="1:6" s="1105" customFormat="1" ht="36">
      <c r="A87" s="1154">
        <v>27</v>
      </c>
      <c r="B87" s="3387"/>
      <c r="C87" s="1068" t="s">
        <v>1556</v>
      </c>
      <c r="D87" s="1068" t="s">
        <v>1557</v>
      </c>
      <c r="E87" s="1139">
        <v>0.2</v>
      </c>
      <c r="F87" s="1154">
        <v>30</v>
      </c>
    </row>
    <row r="88" spans="1:6" s="1105" customFormat="1" ht="36">
      <c r="A88" s="1154">
        <v>28</v>
      </c>
      <c r="B88" s="3387"/>
      <c r="C88" s="1068" t="s">
        <v>1558</v>
      </c>
      <c r="D88" s="1068" t="s">
        <v>1559</v>
      </c>
      <c r="E88" s="1139">
        <v>0.2</v>
      </c>
      <c r="F88" s="1154">
        <v>30</v>
      </c>
    </row>
    <row r="89" spans="1:6" s="1105" customFormat="1" ht="24">
      <c r="A89" s="1154">
        <v>29</v>
      </c>
      <c r="B89" s="3387"/>
      <c r="C89" s="1068" t="s">
        <v>1560</v>
      </c>
      <c r="D89" s="1068" t="s">
        <v>1561</v>
      </c>
      <c r="E89" s="1139">
        <v>0.2</v>
      </c>
      <c r="F89" s="1154">
        <v>30</v>
      </c>
    </row>
    <row r="90" spans="1:6" s="1105" customFormat="1" ht="24">
      <c r="A90" s="1154">
        <v>30</v>
      </c>
      <c r="B90" s="3387"/>
      <c r="C90" s="1068" t="s">
        <v>1562</v>
      </c>
      <c r="D90" s="1068" t="s">
        <v>1563</v>
      </c>
      <c r="E90" s="1139">
        <v>0.2</v>
      </c>
      <c r="F90" s="1154">
        <v>30</v>
      </c>
    </row>
    <row r="91" spans="1:6" s="1105" customFormat="1" ht="36">
      <c r="A91" s="1154">
        <v>31</v>
      </c>
      <c r="B91" s="3387"/>
      <c r="C91" s="1068" t="s">
        <v>1564</v>
      </c>
      <c r="D91" s="1068" t="s">
        <v>1565</v>
      </c>
      <c r="E91" s="1139">
        <v>0.2</v>
      </c>
      <c r="F91" s="1154">
        <v>30</v>
      </c>
    </row>
    <row r="92" spans="1:6" s="1105" customFormat="1" ht="24">
      <c r="A92" s="1154">
        <v>32</v>
      </c>
      <c r="B92" s="3387" t="s">
        <v>1566</v>
      </c>
      <c r="C92" s="1154" t="s">
        <v>1567</v>
      </c>
      <c r="D92" s="1068" t="s">
        <v>1568</v>
      </c>
      <c r="E92" s="1139">
        <v>0.2</v>
      </c>
      <c r="F92" s="1154">
        <v>30</v>
      </c>
    </row>
    <row r="93" spans="1:6" s="1105" customFormat="1" ht="36">
      <c r="A93" s="1154">
        <v>33</v>
      </c>
      <c r="B93" s="3387"/>
      <c r="C93" s="1154" t="s">
        <v>1569</v>
      </c>
      <c r="D93" s="1068" t="s">
        <v>1570</v>
      </c>
      <c r="E93" s="1139">
        <v>0.2</v>
      </c>
      <c r="F93" s="1154">
        <v>30</v>
      </c>
    </row>
    <row r="94" spans="1:6" s="1105" customFormat="1" ht="48">
      <c r="A94" s="1154">
        <v>34</v>
      </c>
      <c r="B94" s="3387"/>
      <c r="C94" s="1154" t="s">
        <v>1571</v>
      </c>
      <c r="D94" s="1068" t="s">
        <v>1572</v>
      </c>
      <c r="E94" s="1139">
        <v>0.2</v>
      </c>
      <c r="F94" s="1154">
        <v>30</v>
      </c>
    </row>
    <row r="95" spans="1:6" s="1105" customFormat="1" ht="36">
      <c r="A95" s="1154">
        <v>35</v>
      </c>
      <c r="B95" s="3387"/>
      <c r="C95" s="1154" t="s">
        <v>1573</v>
      </c>
      <c r="D95" s="1068" t="s">
        <v>1574</v>
      </c>
      <c r="E95" s="1139">
        <v>0.2</v>
      </c>
      <c r="F95" s="1154">
        <v>30</v>
      </c>
    </row>
    <row r="96" spans="1:6" s="1105" customFormat="1" ht="48">
      <c r="A96" s="1154">
        <v>36</v>
      </c>
      <c r="B96" s="3387"/>
      <c r="C96" s="1068" t="s">
        <v>1575</v>
      </c>
      <c r="D96" s="1068" t="s">
        <v>1576</v>
      </c>
      <c r="E96" s="1139">
        <v>0.2</v>
      </c>
      <c r="F96" s="1154">
        <v>30</v>
      </c>
    </row>
    <row r="97" spans="1:6" s="1105" customFormat="1" ht="36">
      <c r="A97" s="1154">
        <v>37</v>
      </c>
      <c r="B97" s="3387"/>
      <c r="C97" s="1154" t="s">
        <v>1577</v>
      </c>
      <c r="D97" s="1068" t="s">
        <v>1578</v>
      </c>
      <c r="E97" s="1139">
        <v>0.2</v>
      </c>
      <c r="F97" s="1154">
        <v>30</v>
      </c>
    </row>
    <row r="98" spans="1:6" s="1105" customFormat="1" ht="36">
      <c r="A98" s="1154">
        <v>38</v>
      </c>
      <c r="B98" s="3387"/>
      <c r="C98" s="1154" t="s">
        <v>1579</v>
      </c>
      <c r="D98" s="1068" t="s">
        <v>1580</v>
      </c>
      <c r="E98" s="1139">
        <v>0.2</v>
      </c>
      <c r="F98" s="1154">
        <v>30</v>
      </c>
    </row>
    <row r="99" spans="1:6" s="1105" customFormat="1" ht="36">
      <c r="A99" s="1154">
        <v>39</v>
      </c>
      <c r="B99" s="3387" t="s">
        <v>1581</v>
      </c>
      <c r="C99" s="1154" t="s">
        <v>1582</v>
      </c>
      <c r="D99" s="1068" t="s">
        <v>1583</v>
      </c>
      <c r="E99" s="1139">
        <v>0.3</v>
      </c>
      <c r="F99" s="1154">
        <v>50</v>
      </c>
    </row>
    <row r="100" spans="1:6" s="1105" customFormat="1" ht="24">
      <c r="A100" s="1154">
        <v>40</v>
      </c>
      <c r="B100" s="3387"/>
      <c r="C100" s="1154" t="s">
        <v>1584</v>
      </c>
      <c r="D100" s="1068" t="s">
        <v>1585</v>
      </c>
      <c r="E100" s="1139">
        <v>0.2</v>
      </c>
      <c r="F100" s="1154">
        <v>30</v>
      </c>
    </row>
    <row r="101" spans="1:6" s="1105" customFormat="1" ht="36">
      <c r="A101" s="1154">
        <v>41</v>
      </c>
      <c r="B101" s="3387"/>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387" t="s">
        <v>1596</v>
      </c>
      <c r="C105" s="1154" t="s">
        <v>1597</v>
      </c>
      <c r="D105" s="1068" t="s">
        <v>1598</v>
      </c>
      <c r="E105" s="1139">
        <v>0.2</v>
      </c>
      <c r="F105" s="1154">
        <v>30</v>
      </c>
    </row>
    <row r="106" spans="1:6" s="1105" customFormat="1" ht="36">
      <c r="A106" s="1154">
        <v>46</v>
      </c>
      <c r="B106" s="3387"/>
      <c r="C106" s="1154" t="s">
        <v>1599</v>
      </c>
      <c r="D106" s="1068" t="s">
        <v>1600</v>
      </c>
      <c r="E106" s="1139">
        <v>0.2</v>
      </c>
      <c r="F106" s="1154">
        <v>30</v>
      </c>
    </row>
    <row r="107" spans="1:6" s="1105" customFormat="1" ht="36">
      <c r="A107" s="1154">
        <v>47</v>
      </c>
      <c r="B107" s="3387" t="s">
        <v>1601</v>
      </c>
      <c r="C107" s="1154" t="s">
        <v>1602</v>
      </c>
      <c r="D107" s="1068" t="s">
        <v>1603</v>
      </c>
      <c r="E107" s="1139">
        <v>0.3</v>
      </c>
      <c r="F107" s="1154">
        <v>50</v>
      </c>
    </row>
    <row r="108" spans="1:6" s="1105" customFormat="1" ht="36">
      <c r="A108" s="1154">
        <v>48</v>
      </c>
      <c r="B108" s="3387"/>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387" t="s">
        <v>1612</v>
      </c>
      <c r="C111" s="1154" t="s">
        <v>1613</v>
      </c>
      <c r="D111" s="1068" t="s">
        <v>1614</v>
      </c>
      <c r="E111" s="1139">
        <v>0.2</v>
      </c>
      <c r="F111" s="1154">
        <v>30</v>
      </c>
    </row>
    <row r="112" spans="1:6" s="1105" customFormat="1" ht="24">
      <c r="A112" s="1154">
        <v>52</v>
      </c>
      <c r="B112" s="3387"/>
      <c r="C112" s="1154" t="s">
        <v>1615</v>
      </c>
      <c r="D112" s="1068" t="s">
        <v>1616</v>
      </c>
      <c r="E112" s="1139">
        <v>0.2</v>
      </c>
      <c r="F112" s="1154">
        <v>30</v>
      </c>
    </row>
    <row r="113" spans="1:14" s="1105" customFormat="1" ht="24">
      <c r="A113" s="1154">
        <v>53</v>
      </c>
      <c r="B113" s="3387"/>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387" t="s">
        <v>1625</v>
      </c>
      <c r="C116" s="1154" t="s">
        <v>1626</v>
      </c>
      <c r="D116" s="1068" t="s">
        <v>1627</v>
      </c>
      <c r="E116" s="1139">
        <v>0.2</v>
      </c>
      <c r="F116" s="1154">
        <v>30</v>
      </c>
    </row>
    <row r="117" spans="1:14" ht="36">
      <c r="A117" s="1154">
        <v>57</v>
      </c>
      <c r="B117" s="3387"/>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386" t="s">
        <v>1634</v>
      </c>
      <c r="B121" s="3386"/>
      <c r="C121" s="3386"/>
      <c r="D121" s="3386"/>
      <c r="E121" s="3386"/>
      <c r="F121" s="3386"/>
      <c r="G121" s="3386"/>
      <c r="H121" s="3386"/>
      <c r="I121" s="3386"/>
      <c r="J121" s="3386"/>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44" t="s">
        <v>1040</v>
      </c>
      <c r="B1" s="3444"/>
      <c r="C1" s="3444"/>
      <c r="D1" s="3444"/>
      <c r="E1" s="3444"/>
      <c r="F1" s="3444"/>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45" t="s">
        <v>1053</v>
      </c>
      <c r="B2" s="3445"/>
      <c r="C2" s="3445"/>
      <c r="D2" s="3445"/>
      <c r="E2" s="3445"/>
      <c r="F2" s="3445"/>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46"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47"/>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16160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2422</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2423</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1.5984</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48" t="s">
        <v>2080</v>
      </c>
      <c r="B1" s="3448"/>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5" t="s">
        <v>2943</v>
      </c>
      <c r="B1" s="3107"/>
      <c r="C1" s="3107"/>
      <c r="D1" s="3107"/>
      <c r="E1" s="3107"/>
      <c r="F1" s="3107"/>
    </row>
    <row r="2" spans="1:6" ht="14.25">
      <c r="A2" s="3108" t="s">
        <v>2938</v>
      </c>
      <c r="B2" s="3109">
        <f ca="1">SUMIF(B7:B14,"&lt;&gt;#ref!",B7:B14)</f>
        <v>24015</v>
      </c>
      <c r="C2" s="3108" t="s">
        <v>2939</v>
      </c>
      <c r="D2" s="3107"/>
      <c r="E2" s="3107"/>
      <c r="F2" s="3107"/>
    </row>
    <row r="3" spans="1:6" ht="14.25">
      <c r="A3" s="3108" t="s">
        <v>2972</v>
      </c>
      <c r="B3" s="3109">
        <f ca="1">ROUND(B2*10000/E3,0)</f>
        <v>8323</v>
      </c>
      <c r="C3" s="3108" t="s">
        <v>2079</v>
      </c>
      <c r="D3" s="3108" t="s">
        <v>2940</v>
      </c>
      <c r="E3" s="3109">
        <f ca="1">SUMIF(E7:E14,"&lt;&gt;#ref!",E7:E14)</f>
        <v>28855</v>
      </c>
      <c r="F3" s="3107"/>
    </row>
    <row r="4" spans="1:6" ht="14.25">
      <c r="A4" s="3108" t="s">
        <v>2947</v>
      </c>
      <c r="B4" s="3109" t="e">
        <f ca="1">ROUND(B2*10000/E4,0)</f>
        <v>#DIV/0!</v>
      </c>
      <c r="C4" s="3108" t="s">
        <v>2079</v>
      </c>
      <c r="D4" s="3108" t="s">
        <v>2948</v>
      </c>
      <c r="E4" s="3109">
        <f ca="1">SUMIF(F7:F14,"&lt;&gt;#ref!",F7:F14)</f>
        <v>0</v>
      </c>
      <c r="F4" s="3107"/>
    </row>
    <row r="5" spans="1:6" ht="14.25">
      <c r="A5" s="3110"/>
      <c r="B5" s="1882"/>
      <c r="C5" s="1882"/>
      <c r="D5" s="1882"/>
      <c r="E5" s="1882"/>
      <c r="F5" s="3107"/>
    </row>
    <row r="6" spans="1:6" ht="28.5">
      <c r="A6" s="3111" t="s">
        <v>2944</v>
      </c>
      <c r="B6" s="3108" t="s">
        <v>2941</v>
      </c>
      <c r="C6" s="3109"/>
      <c r="D6" s="1882"/>
      <c r="E6" s="3108" t="s">
        <v>2942</v>
      </c>
      <c r="F6" s="3108" t="s">
        <v>2946</v>
      </c>
    </row>
    <row r="7" spans="1:6" ht="14.25">
      <c r="A7" s="260" t="s">
        <v>2945</v>
      </c>
      <c r="B7" s="3112">
        <f ca="1">SUMIF(INDIRECT("'"&amp;A7&amp;"'"&amp;"!A:A"),"总价",INDIRECT("'"&amp;A7&amp;"'"&amp;"!B:B"))</f>
        <v>24015</v>
      </c>
      <c r="C7" s="3108" t="s">
        <v>2939</v>
      </c>
      <c r="D7" s="1882"/>
      <c r="E7" s="3113">
        <f ca="1">SUMIF(INDIRECT("'"&amp;A7&amp;"'"&amp;"!C:C"),"建筑面积",INDIRECT("'"&amp;A7&amp;"'"&amp;"!D:D"))</f>
        <v>28855</v>
      </c>
      <c r="F7" s="3113">
        <f ca="1">SUMIF(INDIRECT("'"&amp;A7&amp;"'"&amp;"!E:E"),"土地面积",INDIRECT("'"&amp;A7&amp;"'"&amp;"!F:F"))</f>
        <v>0</v>
      </c>
    </row>
    <row r="8" spans="1:6" ht="14.25">
      <c r="A8" s="260"/>
      <c r="B8" s="3112" t="e">
        <f t="shared" ref="B8:B14" ca="1" si="0">SUMIF(INDIRECT("'"&amp;A8&amp;"'"&amp;"!A:A"),"总价",INDIRECT("'"&amp;A8&amp;"'"&amp;"!B:B"))</f>
        <v>#REF!</v>
      </c>
      <c r="C8" s="3108" t="s">
        <v>2939</v>
      </c>
      <c r="D8" s="1882"/>
      <c r="E8" s="3113" t="e">
        <f t="shared" ref="E8:E14" ca="1" si="1">SUMIF(INDIRECT("'"&amp;A8&amp;"'"&amp;"!C:C"),"建筑面积",INDIRECT("'"&amp;A8&amp;"'"&amp;"!D:D"))</f>
        <v>#REF!</v>
      </c>
      <c r="F8" s="3113" t="e">
        <f t="shared" ref="F8:F14" ca="1" si="2">SUMIF(INDIRECT("'"&amp;A8&amp;"'"&amp;"!E:E"),"土地面积",INDIRECT("'"&amp;A8&amp;"'"&amp;"!F:F"))</f>
        <v>#REF!</v>
      </c>
    </row>
    <row r="9" spans="1:6" ht="14.25">
      <c r="A9" s="260"/>
      <c r="B9" s="3112" t="e">
        <f t="shared" ca="1" si="0"/>
        <v>#REF!</v>
      </c>
      <c r="C9" s="3108" t="s">
        <v>2939</v>
      </c>
      <c r="D9" s="1882"/>
      <c r="E9" s="3113" t="e">
        <f t="shared" ca="1" si="1"/>
        <v>#REF!</v>
      </c>
      <c r="F9" s="3113" t="e">
        <f t="shared" ca="1" si="2"/>
        <v>#REF!</v>
      </c>
    </row>
    <row r="10" spans="1:6" ht="14.25">
      <c r="A10" s="260"/>
      <c r="B10" s="3112" t="e">
        <f t="shared" ca="1" si="0"/>
        <v>#REF!</v>
      </c>
      <c r="C10" s="3108" t="s">
        <v>2939</v>
      </c>
      <c r="D10" s="1882"/>
      <c r="E10" s="3113" t="e">
        <f t="shared" ca="1" si="1"/>
        <v>#REF!</v>
      </c>
      <c r="F10" s="3113" t="e">
        <f t="shared" ca="1" si="2"/>
        <v>#REF!</v>
      </c>
    </row>
    <row r="11" spans="1:6" ht="14.25">
      <c r="A11" s="260"/>
      <c r="B11" s="3112" t="e">
        <f t="shared" ca="1" si="0"/>
        <v>#REF!</v>
      </c>
      <c r="C11" s="3108" t="s">
        <v>2939</v>
      </c>
      <c r="D11" s="1882"/>
      <c r="E11" s="3113" t="e">
        <f t="shared" ca="1" si="1"/>
        <v>#REF!</v>
      </c>
      <c r="F11" s="3113" t="e">
        <f t="shared" ca="1" si="2"/>
        <v>#REF!</v>
      </c>
    </row>
    <row r="12" spans="1:6" ht="14.25">
      <c r="A12" s="260"/>
      <c r="B12" s="3112" t="e">
        <f t="shared" ca="1" si="0"/>
        <v>#REF!</v>
      </c>
      <c r="C12" s="3108" t="s">
        <v>2939</v>
      </c>
      <c r="D12" s="1882"/>
      <c r="E12" s="3113" t="e">
        <f t="shared" ca="1" si="1"/>
        <v>#REF!</v>
      </c>
      <c r="F12" s="3113" t="e">
        <f t="shared" ca="1" si="2"/>
        <v>#REF!</v>
      </c>
    </row>
    <row r="13" spans="1:6" ht="14.25">
      <c r="A13" s="260"/>
      <c r="B13" s="3112" t="e">
        <f t="shared" ca="1" si="0"/>
        <v>#REF!</v>
      </c>
      <c r="C13" s="3108" t="s">
        <v>2939</v>
      </c>
      <c r="D13" s="1882"/>
      <c r="E13" s="3113" t="e">
        <f t="shared" ca="1" si="1"/>
        <v>#REF!</v>
      </c>
      <c r="F13" s="3113" t="e">
        <f t="shared" ca="1" si="2"/>
        <v>#REF!</v>
      </c>
    </row>
    <row r="14" spans="1:6" ht="14.25">
      <c r="A14" s="3106"/>
      <c r="B14" s="3112" t="e">
        <f t="shared" ca="1" si="0"/>
        <v>#REF!</v>
      </c>
      <c r="C14" s="3108" t="s">
        <v>2939</v>
      </c>
      <c r="D14" s="1882"/>
      <c r="E14" s="3113" t="e">
        <f t="shared" ca="1" si="1"/>
        <v>#REF!</v>
      </c>
      <c r="F14" s="311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88" t="s">
        <v>2374</v>
      </c>
      <c r="F1" s="2389">
        <f ca="1">J54</f>
        <v>-2</v>
      </c>
      <c r="G1" s="774">
        <f>MATCH(C1,'数据-取费表'!A6:A16,0)+5</f>
        <v>12</v>
      </c>
      <c r="H1" s="1350"/>
      <c r="I1" s="2052"/>
      <c r="J1" s="2052"/>
      <c r="K1" s="2053"/>
      <c r="L1" s="2052"/>
      <c r="M1" s="2052"/>
      <c r="N1" s="2054"/>
      <c r="O1" s="2054"/>
      <c r="P1" s="2054"/>
      <c r="Q1" s="2054"/>
      <c r="R1" s="2054"/>
      <c r="S1" s="2054"/>
      <c r="T1" s="2054"/>
      <c r="U1" s="2054"/>
      <c r="V1" s="2054"/>
      <c r="W1" s="2054"/>
      <c r="X1" s="2054"/>
      <c r="Y1" s="2054"/>
    </row>
    <row r="2" spans="1:25" ht="18" customHeight="1">
      <c r="A2" s="1644" t="s">
        <v>629</v>
      </c>
      <c r="B2" s="775">
        <f ca="1">IF(ISERROR(C45+J31),0,C45+J31)</f>
        <v>0</v>
      </c>
      <c r="C2" s="1351"/>
      <c r="D2" s="2056"/>
      <c r="E2" s="2057"/>
      <c r="F2" s="2057"/>
      <c r="G2" s="1590"/>
      <c r="H2" s="1363"/>
      <c r="I2" s="2058"/>
      <c r="J2" s="2058"/>
      <c r="K2" s="2059"/>
      <c r="L2" s="2058"/>
      <c r="M2" s="2058"/>
    </row>
    <row r="3" spans="1:25" ht="18" customHeight="1">
      <c r="A3" s="1645" t="s">
        <v>1686</v>
      </c>
      <c r="B3" s="1391">
        <f ca="1">ROUND(B2*10000/'数据-汇总表'!E3,0)</f>
        <v>0</v>
      </c>
      <c r="C3" s="1351"/>
      <c r="D3" s="2056"/>
      <c r="E3" s="2057"/>
      <c r="F3" s="2057"/>
      <c r="G3" s="1590"/>
      <c r="H3" s="776" t="s">
        <v>695</v>
      </c>
      <c r="I3" s="2058"/>
      <c r="J3" s="2058"/>
      <c r="K3" s="2059"/>
      <c r="L3" s="2058"/>
      <c r="M3" s="2058"/>
    </row>
    <row r="4" spans="1:25" ht="18" customHeight="1">
      <c r="A4" s="1646" t="s">
        <v>696</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697</v>
      </c>
      <c r="D5" s="2056"/>
      <c r="E5" s="2057"/>
      <c r="F5" s="2057"/>
      <c r="G5" s="1590"/>
      <c r="H5" s="776"/>
      <c r="I5" s="2058"/>
      <c r="J5" s="2058"/>
      <c r="K5" s="2059"/>
      <c r="L5" s="2058"/>
      <c r="M5" s="2058"/>
    </row>
    <row r="6" spans="1:25" ht="18" customHeight="1">
      <c r="A6" s="1829" t="s">
        <v>698</v>
      </c>
      <c r="B6" s="1821" t="s">
        <v>699</v>
      </c>
      <c r="C6" s="1821" t="s">
        <v>632</v>
      </c>
      <c r="D6" s="1821" t="s">
        <v>633</v>
      </c>
      <c r="E6" s="779" t="s">
        <v>634</v>
      </c>
      <c r="F6" s="780"/>
      <c r="G6" s="1592"/>
      <c r="H6" s="1829" t="s">
        <v>630</v>
      </c>
      <c r="I6" s="1821" t="s">
        <v>631</v>
      </c>
      <c r="J6" s="1821" t="s">
        <v>632</v>
      </c>
      <c r="K6" s="1821" t="s">
        <v>633</v>
      </c>
      <c r="L6" s="779" t="s">
        <v>634</v>
      </c>
      <c r="M6" s="780"/>
    </row>
    <row r="7" spans="1:25" ht="18" customHeight="1">
      <c r="A7" s="781">
        <v>1</v>
      </c>
      <c r="B7" s="782" t="s">
        <v>2458</v>
      </c>
      <c r="C7" s="53">
        <f ca="1">C8+C12+C14</f>
        <v>0</v>
      </c>
      <c r="D7" s="2497" t="s">
        <v>2461</v>
      </c>
      <c r="E7" s="2491"/>
      <c r="F7" s="2492"/>
      <c r="G7" s="1592"/>
      <c r="H7" s="781">
        <v>1</v>
      </c>
      <c r="I7" s="782" t="s">
        <v>2458</v>
      </c>
      <c r="J7" s="53">
        <f ca="1">J8+J12+J14</f>
        <v>0</v>
      </c>
      <c r="K7" s="2497" t="s">
        <v>2461</v>
      </c>
      <c r="L7" s="2491"/>
      <c r="M7" s="2492"/>
    </row>
    <row r="8" spans="1:25" ht="18" customHeight="1">
      <c r="A8" s="1831" t="s">
        <v>1824</v>
      </c>
      <c r="B8" s="3450" t="s">
        <v>2463</v>
      </c>
      <c r="C8" s="1826">
        <f ca="1">ROUND(F8*F10*F9*(1-F11)/10000,0)</f>
        <v>0</v>
      </c>
      <c r="D8" s="1823" t="s">
        <v>2534</v>
      </c>
      <c r="E8" s="61" t="s">
        <v>637</v>
      </c>
      <c r="F8" s="785">
        <f ca="1">INDIRECT("'数据-取费表'!u"&amp;$G$1)</f>
        <v>0</v>
      </c>
      <c r="G8" s="1592"/>
      <c r="H8" s="2505" t="s">
        <v>1824</v>
      </c>
      <c r="I8" s="3450" t="s">
        <v>2463</v>
      </c>
      <c r="J8" s="783">
        <f ca="1">ROUND(M8*M10*M9*(1-M11)/10000,0)</f>
        <v>0</v>
      </c>
      <c r="K8" s="341" t="s">
        <v>2534</v>
      </c>
      <c r="L8" s="784" t="s">
        <v>1738</v>
      </c>
      <c r="M8" s="785">
        <f ca="1">INDIRECT("'数据-取费表'!z"&amp;$G$1)</f>
        <v>0</v>
      </c>
    </row>
    <row r="9" spans="1:25" ht="18" customHeight="1">
      <c r="A9" s="2501"/>
      <c r="B9" s="3451"/>
      <c r="C9" s="1827"/>
      <c r="D9" s="1824"/>
      <c r="E9" s="61" t="s">
        <v>638</v>
      </c>
      <c r="F9" s="785">
        <f ca="1">IF(INDIRECT("'数据-取费表'!ah"&amp;$G$1)="",INDIRECT("'数据-取费表'!k"&amp;$G$1),INDIRECT("'数据-取费表'!ah"&amp;$G$1))</f>
        <v>0</v>
      </c>
      <c r="G9" s="1592"/>
      <c r="H9" s="2490"/>
      <c r="I9" s="3451"/>
      <c r="J9" s="788"/>
      <c r="K9" s="789"/>
      <c r="L9" s="784" t="s">
        <v>1739</v>
      </c>
      <c r="M9" s="785">
        <f ca="1">F9</f>
        <v>0</v>
      </c>
    </row>
    <row r="10" spans="1:25" ht="18" customHeight="1">
      <c r="A10" s="2494"/>
      <c r="B10" s="3452"/>
      <c r="C10" s="1827"/>
      <c r="D10" s="1824"/>
      <c r="E10" s="61" t="s">
        <v>639</v>
      </c>
      <c r="F10" s="785">
        <f ca="1">INDIRECT("'数据-取费表'!ai"&amp;$G$1)</f>
        <v>0</v>
      </c>
      <c r="G10" s="1592"/>
      <c r="H10" s="2490"/>
      <c r="I10" s="3452"/>
      <c r="J10" s="788"/>
      <c r="K10" s="789"/>
      <c r="L10" s="784" t="s">
        <v>1740</v>
      </c>
      <c r="M10" s="785">
        <f ca="1">INDIRECT("'数据-取费表'!ai"&amp;$G$1)</f>
        <v>0</v>
      </c>
    </row>
    <row r="11" spans="1:25" ht="18" customHeight="1">
      <c r="A11" s="786"/>
      <c r="B11" s="3453"/>
      <c r="C11" s="1827"/>
      <c r="D11" s="1824"/>
      <c r="E11" s="61" t="s">
        <v>640</v>
      </c>
      <c r="F11" s="794">
        <f ca="1">INDIRECT("'数据-取费表'!w"&amp;$G$1)</f>
        <v>0</v>
      </c>
      <c r="G11" s="1592"/>
      <c r="H11" s="2506"/>
      <c r="I11" s="3452"/>
      <c r="J11" s="788"/>
      <c r="K11" s="789"/>
      <c r="L11" s="795" t="s">
        <v>1741</v>
      </c>
      <c r="M11" s="796">
        <f ca="1">INDIRECT("'数据-取费表'!ab"&amp;$G$1)</f>
        <v>0</v>
      </c>
    </row>
    <row r="12" spans="1:25" ht="18" customHeight="1">
      <c r="A12" s="1831" t="s">
        <v>1825</v>
      </c>
      <c r="B12" s="2495" t="s">
        <v>2459</v>
      </c>
      <c r="C12" s="799">
        <f ca="1">ROUND(IF(F12="押一",C8/12*F13,IF(F12="押二",C8/12*2*F13,IF(F12="押三",C8/12*3*F13,C13*F13))),0)</f>
        <v>0</v>
      </c>
      <c r="D12" s="2502" t="s">
        <v>2968</v>
      </c>
      <c r="E12" s="2499" t="s">
        <v>2464</v>
      </c>
      <c r="F12" s="2622"/>
      <c r="G12" s="1592"/>
      <c r="H12" s="2562" t="s">
        <v>1825</v>
      </c>
      <c r="I12" s="2567" t="s">
        <v>2459</v>
      </c>
      <c r="J12" s="783">
        <f ca="1">ROUND(IF(M12="押一",J8/12*M13,IF(M12="押二",J8/12*2*M13,IF(M12="押三",J8/12*3*M13,J13*M13))),0)</f>
        <v>0</v>
      </c>
      <c r="K12" s="2502" t="s">
        <v>2968</v>
      </c>
      <c r="L12" s="2499" t="s">
        <v>2464</v>
      </c>
      <c r="M12" s="2622"/>
    </row>
    <row r="13" spans="1:25" ht="18" customHeight="1">
      <c r="A13" s="790"/>
      <c r="B13" s="2496" t="s">
        <v>2573</v>
      </c>
      <c r="C13" s="2500"/>
      <c r="D13" s="789"/>
      <c r="E13" s="2499" t="s">
        <v>2456</v>
      </c>
      <c r="F13" s="796">
        <f ca="1">'数据-取费表'!B39</f>
        <v>1.4999999999999999E-2</v>
      </c>
      <c r="G13" s="1592"/>
      <c r="H13" s="2563"/>
      <c r="I13" s="2496" t="s">
        <v>2573</v>
      </c>
      <c r="J13" s="2500"/>
      <c r="K13" s="2564"/>
      <c r="L13" s="2499" t="s">
        <v>2456</v>
      </c>
      <c r="M13" s="2493">
        <f ca="1">'数据-取费表'!B39</f>
        <v>1.4999999999999999E-2</v>
      </c>
    </row>
    <row r="14" spans="1:25" ht="18" customHeight="1" thickBot="1">
      <c r="A14" s="2538" t="s">
        <v>2467</v>
      </c>
      <c r="B14" s="2539" t="s">
        <v>2460</v>
      </c>
      <c r="C14" s="2540"/>
      <c r="D14" s="2541"/>
      <c r="E14" s="2542"/>
      <c r="F14" s="2543"/>
      <c r="G14" s="1592"/>
      <c r="H14" s="2552" t="s">
        <v>2467</v>
      </c>
      <c r="I14" s="2565" t="s">
        <v>2460</v>
      </c>
      <c r="J14" s="2566"/>
      <c r="K14" s="2541"/>
      <c r="L14" s="2542"/>
      <c r="M14" s="2555"/>
    </row>
    <row r="15" spans="1:25" ht="18" customHeight="1" thickTop="1">
      <c r="A15" s="1830" t="s">
        <v>1874</v>
      </c>
      <c r="B15" s="1828" t="s">
        <v>641</v>
      </c>
      <c r="C15" s="792">
        <f ca="1">ROUND(C31*F15,0)</f>
        <v>0</v>
      </c>
      <c r="D15" s="1835" t="s">
        <v>642</v>
      </c>
      <c r="E15" s="795" t="s">
        <v>643</v>
      </c>
      <c r="F15" s="800">
        <f ca="1">INDIRECT("'数据-取费表'!y"&amp;$G$1)</f>
        <v>0</v>
      </c>
      <c r="G15" s="1592"/>
      <c r="H15" s="1830" t="s">
        <v>1826</v>
      </c>
      <c r="I15" s="1828" t="s">
        <v>644</v>
      </c>
      <c r="J15" s="1820">
        <f ca="1">ROUND(J16*J17,0)</f>
        <v>0</v>
      </c>
      <c r="K15" s="1822" t="s">
        <v>642</v>
      </c>
      <c r="L15" s="801"/>
      <c r="M15" s="802"/>
    </row>
    <row r="16" spans="1:25" ht="18" customHeight="1">
      <c r="A16" s="803" t="s">
        <v>1875</v>
      </c>
      <c r="B16" s="784" t="s">
        <v>645</v>
      </c>
      <c r="C16" s="804">
        <f ca="1">INDIRECT("'数据-取费表'!m"&amp;$G$1)+INDIRECT("'数据-取费表'!t"&amp;$G$1)</f>
        <v>0</v>
      </c>
      <c r="D16" s="1980" t="s">
        <v>646</v>
      </c>
      <c r="E16" s="1981"/>
      <c r="F16" s="805"/>
      <c r="G16" s="1592"/>
      <c r="H16" s="803" t="s">
        <v>2070</v>
      </c>
      <c r="I16" s="2232" t="s">
        <v>2824</v>
      </c>
      <c r="J16" s="53">
        <f ca="1">C31</f>
        <v>0</v>
      </c>
      <c r="K16" s="26"/>
      <c r="L16" s="801"/>
      <c r="M16" s="802"/>
    </row>
    <row r="17" spans="1:25" s="2065" customFormat="1" ht="18" customHeight="1">
      <c r="A17" s="803" t="s">
        <v>1849</v>
      </c>
      <c r="B17" s="784" t="s">
        <v>647</v>
      </c>
      <c r="C17" s="53">
        <f ca="1">ROUND(C16*F17,0)</f>
        <v>0</v>
      </c>
      <c r="D17" s="806" t="s">
        <v>648</v>
      </c>
      <c r="E17" s="806" t="s">
        <v>649</v>
      </c>
      <c r="F17" s="807">
        <f>'数据-取费表'!B33</f>
        <v>0.03</v>
      </c>
      <c r="G17" s="1593"/>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2"/>
      <c r="H18" s="797" t="s">
        <v>1827</v>
      </c>
      <c r="I18" s="798" t="s">
        <v>651</v>
      </c>
      <c r="J18" s="799">
        <f ca="1">ROUND(J19+J24+J25+J26,0)</f>
        <v>0</v>
      </c>
      <c r="K18" s="26" t="s">
        <v>652</v>
      </c>
      <c r="L18" s="1983"/>
      <c r="M18" s="56"/>
    </row>
    <row r="19" spans="1:25" s="2065" customFormat="1" ht="18" customHeight="1">
      <c r="A19" s="803" t="s">
        <v>1851</v>
      </c>
      <c r="B19" s="784" t="s">
        <v>653</v>
      </c>
      <c r="C19" s="53">
        <f ca="1">ROUND(F19*(INDIRECT("'数据-取费表'!k"&amp;$G$1)+INDIRECT("'数据-取费表'!S"&amp;$G$1))/10000,0)</f>
        <v>0</v>
      </c>
      <c r="D19" s="784" t="s">
        <v>654</v>
      </c>
      <c r="E19" s="784" t="s">
        <v>655</v>
      </c>
      <c r="F19" s="56">
        <f>'数据-取费表'!B35</f>
        <v>200</v>
      </c>
      <c r="G19" s="1593"/>
      <c r="H19" s="803" t="s">
        <v>2070</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1852</v>
      </c>
      <c r="B20" s="784" t="s">
        <v>659</v>
      </c>
      <c r="C20" s="53">
        <f ca="1">ROUND(C16*F20,0)</f>
        <v>0</v>
      </c>
      <c r="D20" s="784" t="s">
        <v>648</v>
      </c>
      <c r="E20" s="784" t="s">
        <v>649</v>
      </c>
      <c r="F20" s="809">
        <f>'数据-取费表'!B36</f>
        <v>1.4999999999999999E-2</v>
      </c>
      <c r="G20" s="1593"/>
      <c r="H20" s="803" t="s">
        <v>1831</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1876</v>
      </c>
      <c r="B21" s="784" t="s">
        <v>662</v>
      </c>
      <c r="C21" s="53">
        <f ca="1">SUM(C16:C20)</f>
        <v>0</v>
      </c>
      <c r="D21" s="261" t="s">
        <v>663</v>
      </c>
      <c r="E21" s="1983"/>
      <c r="F21" s="56"/>
      <c r="G21" s="1592"/>
      <c r="H21" s="1831" t="s">
        <v>1849</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1877</v>
      </c>
      <c r="B22" s="784" t="s">
        <v>666</v>
      </c>
      <c r="C22" s="53">
        <f ca="1">ROUND(C21*F22,0)</f>
        <v>0</v>
      </c>
      <c r="D22" s="812" t="s">
        <v>667</v>
      </c>
      <c r="E22" s="784" t="s">
        <v>649</v>
      </c>
      <c r="F22" s="809">
        <f>'数据-取费表'!B37</f>
        <v>0.02</v>
      </c>
      <c r="G22" s="1593"/>
      <c r="H22" s="1833" t="s">
        <v>1850</v>
      </c>
      <c r="I22" s="1823" t="s">
        <v>668</v>
      </c>
      <c r="J22" s="54">
        <f ca="1">ROUND(M22*M23/10000,0)</f>
        <v>0</v>
      </c>
      <c r="K22" s="814" t="s">
        <v>669</v>
      </c>
      <c r="L22" s="784" t="s">
        <v>670</v>
      </c>
      <c r="M22" s="640">
        <f>'数据-取费表'!B52</f>
        <v>12</v>
      </c>
      <c r="N22" s="2064"/>
      <c r="O22" s="2064"/>
      <c r="P22" s="2064"/>
      <c r="Q22" s="2064"/>
      <c r="R22" s="2064"/>
      <c r="S22" s="2064"/>
      <c r="T22" s="2064"/>
      <c r="U22" s="2064"/>
      <c r="V22" s="2064"/>
      <c r="W22" s="2064"/>
      <c r="X22" s="2064"/>
      <c r="Y22" s="2064"/>
    </row>
    <row r="23" spans="1:25" s="2065" customFormat="1" ht="18" customHeight="1">
      <c r="A23" s="803" t="s">
        <v>1878</v>
      </c>
      <c r="B23" s="784" t="s">
        <v>671</v>
      </c>
      <c r="C23" s="53" t="s">
        <v>1</v>
      </c>
      <c r="D23" s="812" t="s">
        <v>672</v>
      </c>
      <c r="E23" s="784" t="s">
        <v>673</v>
      </c>
      <c r="F23" s="809">
        <f>'数据-取费表'!B38</f>
        <v>0.02</v>
      </c>
      <c r="G23" s="1593"/>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1879</v>
      </c>
      <c r="B24" s="784" t="s">
        <v>675</v>
      </c>
      <c r="C24" s="53"/>
      <c r="D24" s="2573" t="str">
        <f>IF(F25&lt;=1,"单利计息。","复利计息。")&amp;"建造成本、管理费用、销售费用产生的利息。"</f>
        <v>复利计息。建造成本、管理费用、销售费用产生的利息。</v>
      </c>
      <c r="E24" s="1983"/>
      <c r="F24" s="56"/>
      <c r="G24" s="1592"/>
      <c r="H24" s="1832" t="s">
        <v>2071</v>
      </c>
      <c r="I24" s="784" t="s">
        <v>676</v>
      </c>
      <c r="J24" s="53">
        <f ca="1">ROUND(J16*M24,0)</f>
        <v>0</v>
      </c>
      <c r="K24" s="1978" t="s">
        <v>677</v>
      </c>
      <c r="L24" s="784" t="s">
        <v>649</v>
      </c>
      <c r="M24" s="817">
        <f ca="1">INDIRECT("'数据-取费表'!Ak"&amp;$G$1)</f>
        <v>0</v>
      </c>
    </row>
    <row r="25" spans="1:25" s="2065" customFormat="1" ht="18" customHeight="1">
      <c r="A25" s="803" t="s">
        <v>1875</v>
      </c>
      <c r="B25" s="784" t="s">
        <v>2437</v>
      </c>
      <c r="C25" s="53">
        <f ca="1">ROUND(IF('数据-取费表'!B22&lt;=1,(C21+C22)*F26*F25/2,(C21+C22)*(POWER((1+F26),F25/2)-1)),0)</f>
        <v>0</v>
      </c>
      <c r="D25" s="2572" t="str">
        <f>IF(F25&lt;=1,"(建造成本+管理费用)×利率×(建设周期÷2)","(建造成本+管理费用)×((1+利率)^(建设周期÷2)-1)")</f>
        <v>(建造成本+管理费用)×((1+利率)^(建设周期÷2)-1)</v>
      </c>
      <c r="E25" s="784" t="s">
        <v>678</v>
      </c>
      <c r="F25" s="640">
        <f>'数据-取费表'!B20</f>
        <v>2</v>
      </c>
      <c r="G25" s="1593"/>
      <c r="H25" s="803" t="s">
        <v>1878</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1849</v>
      </c>
      <c r="B26" s="784" t="s">
        <v>681</v>
      </c>
      <c r="C26" s="53">
        <f ca="1">ROUND(IF('数据-取费表'!B22&lt;=1,F23*F26*F25/2,F23*(POWER((1+F26),F25/2)-1)),4)</f>
        <v>1E-3</v>
      </c>
      <c r="D26" s="2572" t="str">
        <f>IF(F25&lt;=1,"销售费用×利率×(建设周期÷2)","销售费用×((1+利率)^(建设周期÷2)-1)")</f>
        <v>销售费用×((1+利率)^(建设周期÷2)-1)</v>
      </c>
      <c r="E26" s="784" t="s">
        <v>682</v>
      </c>
      <c r="F26" s="819">
        <f ca="1">'数据-取费表'!B40</f>
        <v>4.7500000000000001E-2</v>
      </c>
      <c r="G26" s="1593"/>
      <c r="H26" s="803" t="s">
        <v>1879</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1881</v>
      </c>
      <c r="B27" s="784" t="s">
        <v>684</v>
      </c>
      <c r="C27" s="53"/>
      <c r="D27" s="261" t="s">
        <v>685</v>
      </c>
      <c r="E27" s="1983"/>
      <c r="F27" s="56"/>
      <c r="G27" s="1592"/>
      <c r="H27" s="797" t="s">
        <v>1828</v>
      </c>
      <c r="I27" s="3012" t="s">
        <v>2821</v>
      </c>
      <c r="J27" s="799">
        <f ca="1">J7-J18</f>
        <v>0</v>
      </c>
      <c r="K27" s="1980" t="s">
        <v>700</v>
      </c>
      <c r="L27" s="1982"/>
      <c r="M27" s="820"/>
    </row>
    <row r="28" spans="1:25" ht="18" customHeight="1">
      <c r="A28" s="803" t="s">
        <v>1875</v>
      </c>
      <c r="B28" s="784" t="s">
        <v>2438</v>
      </c>
      <c r="C28" s="53">
        <f ca="1">ROUND((C21+C22)*F28,0)</f>
        <v>0</v>
      </c>
      <c r="D28" s="812" t="s">
        <v>701</v>
      </c>
      <c r="E28" s="795" t="s">
        <v>702</v>
      </c>
      <c r="F28" s="794">
        <f ca="1">INDIRECT("'数据-取费表'!q"&amp;$G$1)</f>
        <v>0</v>
      </c>
      <c r="G28" s="1592"/>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5" customFormat="1" ht="18" customHeight="1">
      <c r="A30" s="803" t="s">
        <v>1882</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1883</v>
      </c>
      <c r="B31" s="2542" t="s">
        <v>2822</v>
      </c>
      <c r="C31" s="2545">
        <f ca="1">ROUND((C21+C22+C25+C28)/(1-F23-C26-C29-C30),0)</f>
        <v>0</v>
      </c>
      <c r="D31" s="2546"/>
      <c r="E31" s="2547"/>
      <c r="F31" s="2548"/>
      <c r="G31" s="1593"/>
      <c r="H31" s="823" t="s">
        <v>1872</v>
      </c>
      <c r="I31" s="3013" t="s">
        <v>2823</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88"/>
      <c r="F32" s="2492"/>
      <c r="G32" s="2063"/>
      <c r="H32" s="2066"/>
      <c r="I32" s="2067"/>
      <c r="J32" s="2068"/>
      <c r="K32" s="2069"/>
      <c r="L32" s="2070"/>
      <c r="M32" s="2071"/>
    </row>
    <row r="33" spans="1:18" ht="18" customHeight="1">
      <c r="A33" s="803" t="s">
        <v>1876</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1875</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1849</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1880</v>
      </c>
      <c r="B36" s="341" t="s">
        <v>668</v>
      </c>
      <c r="C36" s="54">
        <f ca="1">ROUND(F36*F37/10000,1)</f>
        <v>0</v>
      </c>
      <c r="D36" s="814" t="s">
        <v>669</v>
      </c>
      <c r="E36" s="784" t="s">
        <v>670</v>
      </c>
      <c r="F36" s="640">
        <f>'数据-取费表'!B52</f>
        <v>12</v>
      </c>
      <c r="G36" s="2063"/>
      <c r="H36" s="2066"/>
      <c r="I36" s="3449"/>
      <c r="J36" s="2080"/>
      <c r="K36" s="2081"/>
      <c r="L36" s="2080"/>
      <c r="M36" s="2080"/>
    </row>
    <row r="37" spans="1:18" ht="18" customHeight="1">
      <c r="A37" s="815"/>
      <c r="B37" s="793"/>
      <c r="C37" s="69"/>
      <c r="D37" s="816"/>
      <c r="E37" s="784" t="s">
        <v>674</v>
      </c>
      <c r="F37" s="785">
        <f ca="1">INDIRECT("'数据-取费表'!r"&amp;$G$1)</f>
        <v>0</v>
      </c>
      <c r="G37" s="2063"/>
      <c r="H37" s="2066"/>
      <c r="I37" s="3449"/>
      <c r="J37" s="2078"/>
      <c r="K37" s="2079"/>
      <c r="L37" s="2078"/>
      <c r="M37" s="2078"/>
    </row>
    <row r="38" spans="1:18" ht="18" customHeight="1">
      <c r="A38" s="803" t="s">
        <v>1877</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1878</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61" t="s">
        <v>1879</v>
      </c>
      <c r="B40" s="2547" t="s">
        <v>666</v>
      </c>
      <c r="C40" s="2545">
        <f ca="1">ROUND(C7*F40,1)</f>
        <v>0</v>
      </c>
      <c r="D40" s="2546" t="s">
        <v>683</v>
      </c>
      <c r="E40" s="2547" t="s">
        <v>649</v>
      </c>
      <c r="F40" s="2543">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1876</v>
      </c>
      <c r="B42" s="835" t="s">
        <v>693</v>
      </c>
      <c r="C42" s="829">
        <f ca="1">C7-C32</f>
        <v>0</v>
      </c>
      <c r="D42" s="1980" t="s">
        <v>694</v>
      </c>
      <c r="E42" s="1982"/>
      <c r="F42" s="820"/>
      <c r="G42" s="2063"/>
      <c r="H42" s="2063"/>
      <c r="I42" s="2063"/>
      <c r="J42" s="2063"/>
      <c r="K42" s="2084"/>
      <c r="L42" s="2063"/>
      <c r="M42" s="2063"/>
    </row>
    <row r="43" spans="1:18" ht="18" customHeight="1">
      <c r="A43" s="803" t="s">
        <v>1877</v>
      </c>
      <c r="B43" s="835" t="s">
        <v>711</v>
      </c>
      <c r="C43" s="836">
        <f ca="1">ROUND(C15*F43,0)</f>
        <v>0</v>
      </c>
      <c r="D43" s="1356" t="s">
        <v>712</v>
      </c>
      <c r="E43" s="3124" t="s">
        <v>2956</v>
      </c>
      <c r="F43" s="3125">
        <f ca="1">INDIRECT("'数据-取费表'!j"&amp;$G$1)</f>
        <v>0</v>
      </c>
      <c r="G43" s="2063"/>
      <c r="H43" s="2063"/>
      <c r="I43" s="2063"/>
      <c r="J43" s="2063"/>
      <c r="K43" s="2084"/>
      <c r="L43" s="2063"/>
      <c r="M43" s="2063"/>
    </row>
    <row r="44" spans="1:18" ht="18" customHeight="1">
      <c r="A44" s="803" t="s">
        <v>1878</v>
      </c>
      <c r="B44" s="835" t="s">
        <v>713</v>
      </c>
      <c r="C44" s="1357">
        <f ca="1">C42-C43</f>
        <v>0</v>
      </c>
      <c r="D44" s="463" t="s">
        <v>714</v>
      </c>
      <c r="E44" s="464"/>
      <c r="F44" s="465"/>
      <c r="G44" s="2063"/>
      <c r="H44" s="2063"/>
      <c r="I44" s="2063"/>
      <c r="J44" s="2063"/>
      <c r="K44" s="2084"/>
      <c r="L44" s="2063"/>
      <c r="M44" s="2063"/>
    </row>
    <row r="45" spans="1:18" ht="18" customHeight="1">
      <c r="A45" s="803" t="s">
        <v>1879</v>
      </c>
      <c r="B45" s="1356" t="s">
        <v>715</v>
      </c>
      <c r="C45" s="3039">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26" t="s">
        <v>2959</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2343</v>
      </c>
      <c r="J47" s="2380"/>
      <c r="K47" s="2381"/>
      <c r="L47" s="3162" t="str">
        <f ca="1">IF(M48="住宅",0,IF(L49&gt;J52,L61,J61))</f>
        <v>0</v>
      </c>
      <c r="O47" s="2395" t="s">
        <v>2410</v>
      </c>
      <c r="P47" s="1592"/>
      <c r="Q47" s="1604"/>
      <c r="R47" s="1592"/>
    </row>
    <row r="48" spans="1:18" s="2060" customFormat="1" ht="18" customHeight="1" thickBot="1">
      <c r="A48" s="2085"/>
      <c r="C48" s="2088"/>
      <c r="D48" s="2089"/>
      <c r="E48" s="2089"/>
      <c r="F48" s="2090"/>
      <c r="G48" s="2091"/>
      <c r="I48" s="3152" t="s">
        <v>2344</v>
      </c>
      <c r="J48" s="2382"/>
      <c r="K48" s="3159" t="s">
        <v>2349</v>
      </c>
      <c r="L48" s="3163">
        <f ca="1">INDIRECT("'数据-取费表'!d"&amp;$G$1)</f>
        <v>0</v>
      </c>
      <c r="M48" s="3123" t="str">
        <f>IF(ISNUMBER(FIND("住宅",C1)),"住宅","非住宅")</f>
        <v>非住宅</v>
      </c>
      <c r="O48" s="2396" t="s">
        <v>2375</v>
      </c>
      <c r="P48" s="2397" t="s">
        <v>2376</v>
      </c>
      <c r="Q48" s="2398" t="s">
        <v>2377</v>
      </c>
      <c r="R48" s="2397" t="s">
        <v>2378</v>
      </c>
    </row>
    <row r="49" spans="1:18" s="2060" customFormat="1" ht="18" customHeight="1" thickBot="1">
      <c r="A49" s="2085"/>
      <c r="D49" s="2092"/>
      <c r="E49" s="2093"/>
      <c r="F49" s="2090"/>
      <c r="G49" s="2091"/>
      <c r="H49" s="2094"/>
      <c r="I49" s="3128" t="s">
        <v>2345</v>
      </c>
      <c r="J49" s="2383"/>
      <c r="K49" s="3160" t="s">
        <v>2351</v>
      </c>
      <c r="L49" s="1909">
        <f ca="1">INDIRECT("'数据-取费表'!f"&amp;$G$1)</f>
        <v>0</v>
      </c>
      <c r="O49" s="2399" t="s">
        <v>2379</v>
      </c>
      <c r="P49" s="2400" t="s">
        <v>2405</v>
      </c>
      <c r="Q49" s="2401">
        <f ca="1">C41+J31</f>
        <v>0</v>
      </c>
      <c r="R49" s="2400" t="s">
        <v>2380</v>
      </c>
    </row>
    <row r="50" spans="1:18" s="2060" customFormat="1" ht="18" customHeight="1" thickBot="1">
      <c r="A50" s="2085"/>
      <c r="D50" s="2095"/>
      <c r="E50" s="2095"/>
      <c r="F50" s="2089"/>
      <c r="G50" s="2096"/>
      <c r="H50" s="2094"/>
      <c r="I50" s="3128" t="s">
        <v>2346</v>
      </c>
      <c r="J50" s="2384"/>
      <c r="K50" s="3161" t="s">
        <v>2352</v>
      </c>
      <c r="L50" s="2385"/>
      <c r="O50" s="2399" t="s">
        <v>2381</v>
      </c>
      <c r="P50" s="2400" t="s">
        <v>2406</v>
      </c>
      <c r="Q50" s="2401" t="str">
        <f ca="1">J61</f>
        <v>0</v>
      </c>
      <c r="R50" s="2400" t="s">
        <v>2382</v>
      </c>
    </row>
    <row r="51" spans="1:18" s="2060" customFormat="1" ht="18" customHeight="1" thickBot="1">
      <c r="A51" s="2097"/>
      <c r="D51" s="2095"/>
      <c r="E51" s="2095"/>
      <c r="F51" s="2086"/>
      <c r="H51" s="2094"/>
      <c r="I51" s="3128" t="s">
        <v>2347</v>
      </c>
      <c r="J51" s="3156">
        <f>SUMPRODUCT((I64:I66=J48)*(J63:L63=J49)*(J64:L66))</f>
        <v>0</v>
      </c>
      <c r="K51" s="3161" t="s">
        <v>2353</v>
      </c>
      <c r="L51" s="2385"/>
      <c r="O51" s="2402" t="s">
        <v>2383</v>
      </c>
      <c r="P51" s="2400" t="s">
        <v>2407</v>
      </c>
      <c r="Q51" s="2401">
        <f ca="1">C31</f>
        <v>0</v>
      </c>
      <c r="R51" s="2400" t="s">
        <v>2380</v>
      </c>
    </row>
    <row r="52" spans="1:18" s="2060" customFormat="1" ht="18" customHeight="1" thickBot="1">
      <c r="A52" s="2097"/>
      <c r="F52" s="2086"/>
      <c r="I52" s="3153" t="s">
        <v>2348</v>
      </c>
      <c r="J52" s="3157">
        <f>IF(J50="",J51,J50+J51-YEAR('数据-取费表'!B3))</f>
        <v>0</v>
      </c>
      <c r="K52" s="3128" t="s">
        <v>2354</v>
      </c>
      <c r="L52" s="3164">
        <f ca="1">ROUND(-PV(INDIRECT("'数据-取费表'!h"&amp;$G$1),L49,(C40-C14*J36),0),0)</f>
        <v>0</v>
      </c>
      <c r="O52" s="2402" t="s">
        <v>2384</v>
      </c>
      <c r="P52" s="2400" t="s">
        <v>2385</v>
      </c>
      <c r="Q52" s="2403" t="e">
        <f ca="1">J59</f>
        <v>#VALUE!</v>
      </c>
      <c r="R52" s="2404"/>
    </row>
    <row r="53" spans="1:18" s="2060" customFormat="1" ht="18" customHeight="1" thickBot="1">
      <c r="A53" s="2097"/>
      <c r="F53" s="2086"/>
      <c r="I53" s="3154" t="s">
        <v>2421</v>
      </c>
      <c r="J53" s="2386"/>
      <c r="K53" s="3154" t="s">
        <v>2420</v>
      </c>
      <c r="L53" s="2386"/>
      <c r="O53" s="2402" t="s">
        <v>2386</v>
      </c>
      <c r="P53" s="2400" t="s">
        <v>2387</v>
      </c>
      <c r="Q53" s="2403">
        <f>J53</f>
        <v>0</v>
      </c>
      <c r="R53" s="2404"/>
    </row>
    <row r="54" spans="1:18" s="2060" customFormat="1" ht="29.25" thickBot="1">
      <c r="A54" s="2097"/>
      <c r="I54" s="3155" t="s">
        <v>2973</v>
      </c>
      <c r="J54" s="3158">
        <f ca="1">IF(M48="住宅",MAX(J52,L49-'数据-取费表'!B20),MIN(J52,L49-'数据-取费表'!B20))</f>
        <v>-2</v>
      </c>
      <c r="K54" s="3454"/>
      <c r="L54" s="3455"/>
      <c r="O54" s="2402" t="s">
        <v>2388</v>
      </c>
      <c r="P54" s="2400" t="s">
        <v>2389</v>
      </c>
      <c r="Q54" s="2401">
        <f ca="1">J54</f>
        <v>-2</v>
      </c>
      <c r="R54" s="2400" t="s">
        <v>2390</v>
      </c>
    </row>
    <row r="55" spans="1:18" s="2060" customFormat="1" ht="18" customHeight="1" thickBot="1">
      <c r="A55" s="2097"/>
      <c r="I55" s="3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5"/>
      <c r="K55" s="3166"/>
      <c r="O55" s="2399" t="s">
        <v>2391</v>
      </c>
      <c r="P55" s="2400" t="s">
        <v>2408</v>
      </c>
      <c r="Q55" s="2401">
        <f ca="1">Q49+Q50</f>
        <v>0</v>
      </c>
      <c r="R55" s="2404" t="s">
        <v>2392</v>
      </c>
    </row>
    <row r="56" spans="1:18" s="2060" customFormat="1" ht="16.5" thickBot="1">
      <c r="A56" s="2097"/>
      <c r="B56" s="2098"/>
      <c r="C56" s="2098"/>
      <c r="I56" s="3167" t="s">
        <v>2355</v>
      </c>
      <c r="J56" s="3103" t="e">
        <f ca="1">ROUND(IF(J48="钢混",J58/J51,1-(1-2%)*(J51-J58)/J51),3)</f>
        <v>#VALUE!</v>
      </c>
      <c r="K56" s="3168" t="s">
        <v>2356</v>
      </c>
      <c r="L56" s="2387"/>
      <c r="O56" s="2405" t="s">
        <v>2411</v>
      </c>
      <c r="P56" s="1592"/>
      <c r="Q56" s="1604"/>
      <c r="R56" s="1592"/>
    </row>
    <row r="57" spans="1:18" s="2060" customFormat="1" ht="43.5" thickBot="1">
      <c r="A57" s="2097"/>
      <c r="B57" s="2098"/>
      <c r="C57" s="2098"/>
      <c r="I57" s="3169" t="s">
        <v>2357</v>
      </c>
      <c r="J57" s="3179" t="s">
        <v>1679</v>
      </c>
      <c r="K57" s="3128" t="s">
        <v>2362</v>
      </c>
      <c r="L57" s="1909">
        <f ca="1">IF(L49&lt;J52,"——",L49-J52)</f>
        <v>0</v>
      </c>
      <c r="O57" s="2396" t="s">
        <v>2375</v>
      </c>
      <c r="P57" s="2397" t="s">
        <v>2376</v>
      </c>
      <c r="Q57" s="2398" t="s">
        <v>2377</v>
      </c>
      <c r="R57" s="2397" t="s">
        <v>2378</v>
      </c>
    </row>
    <row r="58" spans="1:18" s="2060" customFormat="1" ht="29.25" thickBot="1">
      <c r="A58" s="2097"/>
      <c r="B58" s="2098"/>
      <c r="C58" s="2098"/>
      <c r="I58" s="3170" t="s">
        <v>2358</v>
      </c>
      <c r="J58" s="3171" t="str">
        <f ca="1">IF(OR(M48="住宅",J52&lt;L49,J57="是"),"——",J52-L49)</f>
        <v>——</v>
      </c>
      <c r="K58" s="3128" t="s">
        <v>2363</v>
      </c>
      <c r="L58" s="1909">
        <f ca="1">IF(L49&lt;J52,"——",IF(L56="比较法",L50,IF(L56="基准地价",L51,L52)))</f>
        <v>0</v>
      </c>
      <c r="O58" s="2399" t="s">
        <v>2379</v>
      </c>
      <c r="P58" s="2400" t="s">
        <v>2405</v>
      </c>
      <c r="Q58" s="2401">
        <f ca="1">C41+J31</f>
        <v>0</v>
      </c>
      <c r="R58" s="2400" t="s">
        <v>2380</v>
      </c>
    </row>
    <row r="59" spans="1:18" s="2060" customFormat="1" ht="29.25" thickBot="1">
      <c r="A59" s="2097"/>
      <c r="B59" s="2098"/>
      <c r="C59" s="2098"/>
      <c r="I59" s="3170" t="s">
        <v>2359</v>
      </c>
      <c r="J59" s="3104" t="e">
        <f ca="1">IF(J56&lt;0.4,0.4,J56)</f>
        <v>#VALUE!</v>
      </c>
      <c r="K59" s="3128" t="s">
        <v>2364</v>
      </c>
      <c r="L59" s="1909">
        <f ca="1">IF(ISERROR(POWER(1+L53,L48-L49)*(POWER(1+L53,L49)-1)/(POWER(1+L53,L48)-1)),0,POWER(1+L53,L48-L49)*(POWER(1+L53,L49)-1)/(POWER(1+L53,L48)-1))</f>
        <v>0</v>
      </c>
      <c r="O59" s="2399" t="s">
        <v>2381</v>
      </c>
      <c r="P59" s="2400" t="s">
        <v>2412</v>
      </c>
      <c r="Q59" s="2401" t="e">
        <f ca="1">L61</f>
        <v>#DIV/0!</v>
      </c>
      <c r="R59" s="2404" t="s">
        <v>2414</v>
      </c>
    </row>
    <row r="60" spans="1:18" s="2060" customFormat="1" ht="29.25" thickBot="1">
      <c r="A60" s="2097"/>
      <c r="B60" s="2098"/>
      <c r="C60" s="2098"/>
      <c r="I60" s="3170" t="s">
        <v>2360</v>
      </c>
      <c r="J60" s="3171" t="str">
        <f ca="1">IF(OR(M48="住宅",J52&lt;L49,J57="是"),"——",ROUND(C30*J59,0))</f>
        <v>——</v>
      </c>
      <c r="K60" s="3128" t="s">
        <v>2365</v>
      </c>
      <c r="L60" s="1909">
        <f ca="1">IF(ISERROR(POWER(1+L53,L48-J52)*(POWER(1+L53,J52)-1)/(POWER(1+L53,L48)-1)),0,POWER(1+L53,L48-J52)*(POWER(1+L53,J52)-1)/(POWER(1+L53,L48)-1))</f>
        <v>0</v>
      </c>
      <c r="O60" s="2402" t="s">
        <v>2383</v>
      </c>
      <c r="P60" s="2400" t="s">
        <v>2413</v>
      </c>
      <c r="Q60" s="2401">
        <f>IF(L56="比较法",L50,IF(L56="基准地价",L51,0))</f>
        <v>0</v>
      </c>
      <c r="R60" s="2400" t="s">
        <v>2380</v>
      </c>
    </row>
    <row r="61" spans="1:18" s="2060" customFormat="1" ht="15.75" thickBot="1">
      <c r="A61" s="2097"/>
      <c r="B61" s="2098"/>
      <c r="C61" s="2098"/>
      <c r="I61" s="3172" t="s">
        <v>2361</v>
      </c>
      <c r="J61" s="3173" t="str">
        <f ca="1">IF(OR(M48="住宅",J52&lt;L49,J57="是"),"0",ROUND(J60/(1+J53)^J54,0))</f>
        <v>0</v>
      </c>
      <c r="K61" s="3174" t="s">
        <v>2366</v>
      </c>
      <c r="L61" s="3173" t="e">
        <f ca="1">IF(OR(M48="住宅",L49&lt;J52),0,ROUND(L58*(L59/L60-1),0))</f>
        <v>#DIV/0!</v>
      </c>
      <c r="O61" s="2402" t="s">
        <v>2384</v>
      </c>
      <c r="P61" s="2400" t="s">
        <v>2393</v>
      </c>
      <c r="Q61" s="2403">
        <f>L53</f>
        <v>0</v>
      </c>
      <c r="R61" s="2404"/>
    </row>
    <row r="62" spans="1:18" s="2060" customFormat="1" ht="20.25" thickBot="1">
      <c r="A62" s="2097"/>
      <c r="B62" s="2098"/>
      <c r="C62" s="2098"/>
      <c r="K62" s="2087"/>
      <c r="O62" s="2402" t="s">
        <v>2386</v>
      </c>
      <c r="P62" s="2400" t="s">
        <v>2394</v>
      </c>
      <c r="Q62" s="2401">
        <f ca="1">L59</f>
        <v>0</v>
      </c>
      <c r="R62" s="2404" t="s">
        <v>2395</v>
      </c>
    </row>
    <row r="63" spans="1:18" s="2060" customFormat="1" ht="20.25" thickBot="1">
      <c r="A63" s="2097"/>
      <c r="B63" s="2098"/>
      <c r="C63" s="2098"/>
      <c r="I63" s="3175" t="s">
        <v>2367</v>
      </c>
      <c r="J63" s="3176" t="s">
        <v>2368</v>
      </c>
      <c r="K63" s="3176" t="s">
        <v>2369</v>
      </c>
      <c r="L63" s="3176" t="s">
        <v>2350</v>
      </c>
      <c r="M63" s="3177" t="s">
        <v>2936</v>
      </c>
      <c r="O63" s="2402" t="s">
        <v>2388</v>
      </c>
      <c r="P63" s="2400" t="s">
        <v>2396</v>
      </c>
      <c r="Q63" s="2401">
        <f ca="1">L60</f>
        <v>0</v>
      </c>
      <c r="R63" s="2404" t="s">
        <v>2397</v>
      </c>
    </row>
    <row r="64" spans="1:18" s="2060" customFormat="1" ht="15.75" thickBot="1">
      <c r="A64" s="2097"/>
      <c r="B64" s="2098"/>
      <c r="C64" s="2098"/>
      <c r="I64" s="3175" t="s">
        <v>2370</v>
      </c>
      <c r="J64" s="3176">
        <v>70</v>
      </c>
      <c r="K64" s="3176">
        <v>50</v>
      </c>
      <c r="L64" s="3176">
        <v>80</v>
      </c>
      <c r="M64" s="3178">
        <v>0.02</v>
      </c>
      <c r="O64" s="2399" t="s">
        <v>2391</v>
      </c>
      <c r="P64" s="2400" t="s">
        <v>2408</v>
      </c>
      <c r="Q64" s="2401" t="e">
        <f ca="1">Q58+Q59</f>
        <v>#DIV/0!</v>
      </c>
      <c r="R64" s="2404" t="s">
        <v>2392</v>
      </c>
    </row>
    <row r="65" spans="1:18" s="2060" customFormat="1" ht="16.5" thickBot="1">
      <c r="A65" s="2097"/>
      <c r="B65" s="2098"/>
      <c r="C65" s="2098"/>
      <c r="I65" s="3175" t="s">
        <v>2371</v>
      </c>
      <c r="J65" s="3176">
        <v>50</v>
      </c>
      <c r="K65" s="3176">
        <v>35</v>
      </c>
      <c r="L65" s="3176">
        <v>60</v>
      </c>
      <c r="M65" s="846">
        <v>0</v>
      </c>
      <c r="O65" s="2405" t="s">
        <v>2415</v>
      </c>
      <c r="P65" s="1592"/>
      <c r="Q65" s="1604"/>
      <c r="R65" s="1592"/>
    </row>
    <row r="66" spans="1:18" s="2060" customFormat="1" ht="15.75" thickBot="1">
      <c r="A66" s="2097"/>
      <c r="B66" s="2098"/>
      <c r="C66" s="2098"/>
      <c r="I66" s="3175" t="s">
        <v>2372</v>
      </c>
      <c r="J66" s="3176">
        <v>40</v>
      </c>
      <c r="K66" s="3176">
        <v>30</v>
      </c>
      <c r="L66" s="3176">
        <v>50</v>
      </c>
      <c r="M66" s="3178">
        <v>0.02</v>
      </c>
      <c r="O66" s="2396" t="s">
        <v>2375</v>
      </c>
      <c r="P66" s="2397" t="s">
        <v>2376</v>
      </c>
      <c r="Q66" s="2398" t="s">
        <v>2377</v>
      </c>
      <c r="R66" s="2397" t="s">
        <v>2378</v>
      </c>
    </row>
    <row r="67" spans="1:18" s="2060" customFormat="1" ht="15.75" thickBot="1">
      <c r="A67" s="2097"/>
      <c r="B67" s="2098"/>
      <c r="C67" s="2098"/>
      <c r="K67" s="2087"/>
      <c r="O67" s="2399" t="s">
        <v>2379</v>
      </c>
      <c r="P67" s="2400" t="s">
        <v>2405</v>
      </c>
      <c r="Q67" s="2401">
        <f ca="1">C41+J31</f>
        <v>0</v>
      </c>
      <c r="R67" s="2400" t="s">
        <v>2380</v>
      </c>
    </row>
    <row r="68" spans="1:18" s="2060" customFormat="1" ht="20.25" thickBot="1">
      <c r="A68" s="2097"/>
      <c r="B68" s="2098"/>
      <c r="C68" s="2098"/>
      <c r="K68" s="2087"/>
      <c r="O68" s="2399" t="s">
        <v>2381</v>
      </c>
      <c r="P68" s="2400" t="s">
        <v>2412</v>
      </c>
      <c r="Q68" s="2401" t="e">
        <f ca="1">L61</f>
        <v>#DIV/0!</v>
      </c>
      <c r="R68" s="2404" t="s">
        <v>2414</v>
      </c>
    </row>
    <row r="69" spans="1:18" s="2060" customFormat="1" ht="21.75" thickBot="1">
      <c r="A69" s="2097"/>
      <c r="B69" s="2098"/>
      <c r="C69" s="2098"/>
      <c r="K69" s="2087"/>
      <c r="O69" s="2402" t="s">
        <v>2383</v>
      </c>
      <c r="P69" s="2400" t="s">
        <v>2413</v>
      </c>
      <c r="Q69" s="2406">
        <f ca="1">L52</f>
        <v>0</v>
      </c>
      <c r="R69" s="2407" t="s">
        <v>2416</v>
      </c>
    </row>
    <row r="70" spans="1:18" s="2060" customFormat="1" ht="20.25" thickBot="1">
      <c r="A70" s="2097"/>
      <c r="B70" s="2098"/>
      <c r="C70" s="2098"/>
      <c r="K70" s="2087"/>
      <c r="O70" s="2402" t="s">
        <v>2384</v>
      </c>
      <c r="P70" s="2408" t="s">
        <v>2398</v>
      </c>
      <c r="Q70" s="2401">
        <f ca="1">ROUND(Q71-Q72*Q73,0)</f>
        <v>0</v>
      </c>
      <c r="R70" s="2404"/>
    </row>
    <row r="71" spans="1:18" s="2060" customFormat="1" ht="15.75" thickBot="1">
      <c r="A71" s="2097"/>
      <c r="B71" s="2098"/>
      <c r="C71" s="2098"/>
      <c r="K71" s="2087"/>
      <c r="O71" s="2402" t="s">
        <v>2399</v>
      </c>
      <c r="P71" s="2408" t="s">
        <v>2400</v>
      </c>
      <c r="Q71" s="2401">
        <f ca="1">C42</f>
        <v>0</v>
      </c>
      <c r="R71" s="2400" t="s">
        <v>2380</v>
      </c>
    </row>
    <row r="72" spans="1:18" s="2060" customFormat="1" ht="15.75" thickBot="1">
      <c r="A72" s="2097"/>
      <c r="B72" s="2098"/>
      <c r="C72" s="2098"/>
      <c r="K72" s="2087"/>
      <c r="O72" s="2402" t="s">
        <v>2401</v>
      </c>
      <c r="P72" s="2408" t="s">
        <v>2402</v>
      </c>
      <c r="Q72" s="2401">
        <f ca="1">C15</f>
        <v>0</v>
      </c>
      <c r="R72" s="2400" t="s">
        <v>2380</v>
      </c>
    </row>
    <row r="73" spans="1:18" s="2060" customFormat="1" ht="15.75" thickBot="1">
      <c r="A73" s="2097"/>
      <c r="B73" s="2098"/>
      <c r="C73" s="2098"/>
      <c r="K73" s="2087"/>
      <c r="O73" s="2402" t="s">
        <v>2403</v>
      </c>
      <c r="P73" s="2408" t="s">
        <v>2404</v>
      </c>
      <c r="Q73" s="2403">
        <f ca="1">F43</f>
        <v>0</v>
      </c>
      <c r="R73" s="2404"/>
    </row>
    <row r="74" spans="1:18" s="2060" customFormat="1" ht="15.75" thickBot="1">
      <c r="A74" s="2097"/>
      <c r="B74" s="2098"/>
      <c r="C74" s="2098"/>
      <c r="K74" s="2087"/>
      <c r="O74" s="2402" t="s">
        <v>2386</v>
      </c>
      <c r="P74" s="2400" t="s">
        <v>2393</v>
      </c>
      <c r="Q74" s="2403">
        <f>L53</f>
        <v>0</v>
      </c>
      <c r="R74" s="2404"/>
    </row>
    <row r="75" spans="1:18" s="2060" customFormat="1" ht="20.25" thickBot="1">
      <c r="A75" s="2097"/>
      <c r="B75" s="2098"/>
      <c r="C75" s="2098"/>
      <c r="K75" s="2087"/>
      <c r="O75" s="2402" t="s">
        <v>2388</v>
      </c>
      <c r="P75" s="2400" t="s">
        <v>2394</v>
      </c>
      <c r="Q75" s="2401">
        <f ca="1">L59</f>
        <v>0</v>
      </c>
      <c r="R75" s="2404" t="s">
        <v>2395</v>
      </c>
    </row>
    <row r="76" spans="1:18" s="2060" customFormat="1" ht="20.25" thickBot="1">
      <c r="A76" s="2097"/>
      <c r="B76" s="2098"/>
      <c r="C76" s="2098"/>
      <c r="K76" s="2087"/>
      <c r="O76" s="2402" t="s">
        <v>2417</v>
      </c>
      <c r="P76" s="2400" t="s">
        <v>2396</v>
      </c>
      <c r="Q76" s="2401">
        <f ca="1">L60</f>
        <v>0</v>
      </c>
      <c r="R76" s="2404" t="s">
        <v>2397</v>
      </c>
    </row>
    <row r="77" spans="1:18" s="2060" customFormat="1" ht="15.75" thickBot="1">
      <c r="A77" s="2097"/>
      <c r="B77" s="2098"/>
      <c r="C77" s="2098"/>
      <c r="K77" s="2087"/>
      <c r="O77" s="2399" t="s">
        <v>2391</v>
      </c>
      <c r="P77" s="2400" t="s">
        <v>2408</v>
      </c>
      <c r="Q77" s="2401" t="e">
        <f ca="1">Q67+Q68</f>
        <v>#DIV/0!</v>
      </c>
      <c r="R77" s="2404" t="s">
        <v>2392</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8" priority="6">
      <formula>$F$12="自定义"</formula>
    </cfRule>
  </conditionalFormatting>
  <conditionalFormatting sqref="J13">
    <cfRule type="expression" dxfId="137" priority="5">
      <formula>$M$10="自定义"</formula>
    </cfRule>
  </conditionalFormatting>
  <conditionalFormatting sqref="K56">
    <cfRule type="expression" dxfId="136" priority="3">
      <formula>$L$48&gt;$J$51</formula>
    </cfRule>
  </conditionalFormatting>
  <conditionalFormatting sqref="I56">
    <cfRule type="expression" dxfId="135" priority="4">
      <formula>$J$51&gt;$L$48</formula>
    </cfRule>
  </conditionalFormatting>
  <conditionalFormatting sqref="I61">
    <cfRule type="expression" dxfId="134" priority="2">
      <formula>$J$51&gt;$L$48</formula>
    </cfRule>
  </conditionalFormatting>
  <conditionalFormatting sqref="K61">
    <cfRule type="expression" dxfId="133"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462" t="s">
        <v>2576</v>
      </c>
      <c r="C1" s="3462"/>
      <c r="D1" s="3462"/>
      <c r="E1" s="3462"/>
      <c r="F1" s="3462"/>
      <c r="G1" s="3461" t="s">
        <v>2577</v>
      </c>
      <c r="H1" s="3461"/>
      <c r="I1" s="3461"/>
      <c r="J1" s="3461"/>
      <c r="K1" s="3461"/>
      <c r="L1" s="3461"/>
      <c r="N1" s="3461" t="s">
        <v>2578</v>
      </c>
      <c r="O1" s="3461"/>
      <c r="P1" s="3461"/>
      <c r="Q1" s="3461"/>
      <c r="R1" s="2655"/>
      <c r="S1" s="3461" t="s">
        <v>2579</v>
      </c>
      <c r="T1" s="3461"/>
      <c r="U1" s="3461"/>
      <c r="V1" s="3461"/>
      <c r="X1" s="3460" t="s">
        <v>2639</v>
      </c>
      <c r="Y1" s="3461"/>
      <c r="Z1" s="3461"/>
      <c r="AA1" s="3461"/>
      <c r="AB1" s="3461"/>
      <c r="AD1" s="3460" t="s">
        <v>2643</v>
      </c>
      <c r="AE1" s="3461"/>
      <c r="AF1" s="3461"/>
      <c r="AG1" s="3461"/>
      <c r="AH1" s="3461"/>
    </row>
    <row r="2" spans="1:34" s="2757" customFormat="1" ht="14.25" thickBot="1">
      <c r="B2" s="2765" t="s">
        <v>2580</v>
      </c>
      <c r="C2" s="2765" t="s">
        <v>2641</v>
      </c>
      <c r="D2" s="2758" t="s">
        <v>1645</v>
      </c>
      <c r="E2" s="2758" t="s">
        <v>1951</v>
      </c>
      <c r="F2" s="2765" t="s">
        <v>2642</v>
      </c>
      <c r="G2" s="2761"/>
      <c r="H2" s="2760"/>
      <c r="I2" s="2765" t="s">
        <v>2950</v>
      </c>
      <c r="J2" s="2758" t="s">
        <v>2952</v>
      </c>
      <c r="K2" s="2758" t="s">
        <v>2953</v>
      </c>
      <c r="L2" s="2765" t="s">
        <v>2954</v>
      </c>
      <c r="N2" s="2765" t="s">
        <v>2580</v>
      </c>
      <c r="O2" s="2758" t="s">
        <v>2951</v>
      </c>
      <c r="P2" s="2758" t="s">
        <v>1951</v>
      </c>
      <c r="Q2" s="2765" t="s">
        <v>2642</v>
      </c>
      <c r="R2" s="2759"/>
      <c r="S2" s="2765" t="s">
        <v>2580</v>
      </c>
      <c r="T2" s="2758" t="s">
        <v>2951</v>
      </c>
      <c r="U2" s="2758" t="s">
        <v>1951</v>
      </c>
      <c r="V2" s="2765" t="s">
        <v>2642</v>
      </c>
      <c r="X2" s="2765" t="s">
        <v>2580</v>
      </c>
      <c r="Y2" s="2765" t="s">
        <v>2641</v>
      </c>
      <c r="Z2" s="2758" t="s">
        <v>1645</v>
      </c>
      <c r="AA2" s="2758" t="s">
        <v>1951</v>
      </c>
      <c r="AB2" s="2765" t="s">
        <v>2642</v>
      </c>
      <c r="AD2" s="2765" t="s">
        <v>2580</v>
      </c>
      <c r="AE2" s="2765" t="s">
        <v>2641</v>
      </c>
      <c r="AF2" s="2758" t="s">
        <v>1645</v>
      </c>
      <c r="AG2" s="2758" t="s">
        <v>1951</v>
      </c>
      <c r="AH2" s="2765" t="s">
        <v>2642</v>
      </c>
    </row>
    <row r="3" spans="1:34" s="3136" customFormat="1" ht="14.25">
      <c r="A3" s="3148" t="s">
        <v>2963</v>
      </c>
      <c r="B3" s="3137"/>
      <c r="C3" s="3137"/>
      <c r="D3" s="3138"/>
      <c r="E3" s="3138"/>
      <c r="F3" s="3137"/>
      <c r="G3" s="3139"/>
      <c r="H3" s="3140"/>
      <c r="I3" s="3147">
        <f>ROUND(AVERAGE($I4:$I24),2)</f>
        <v>2.19</v>
      </c>
      <c r="J3" s="3147">
        <f>ROUND(AVERAGE($J4:$J24),2)</f>
        <v>1.53</v>
      </c>
      <c r="K3" s="3147">
        <f>ROUND(AVERAGE($K4:$K24),2)</f>
        <v>2.41</v>
      </c>
      <c r="L3" s="3147">
        <f>ROUND(AVERAGE($L4:$L24),2)</f>
        <v>1.42</v>
      </c>
      <c r="N3" s="3139"/>
      <c r="O3" s="3141"/>
      <c r="P3" s="3141"/>
      <c r="Q3" s="3141"/>
      <c r="R3" s="3141"/>
      <c r="S3" s="3139"/>
      <c r="T3" s="3141"/>
      <c r="U3" s="3141"/>
      <c r="V3" s="3141"/>
      <c r="W3" s="3144"/>
      <c r="X3" s="3142">
        <f>ROUND(SUMPRODUCT(PRODUCT(1+N3:N$23)),4)</f>
        <v>1.4956</v>
      </c>
      <c r="Y3" s="3142">
        <f>ROUND(SUMPRODUCT(PRODUCT(1+O3:O$23)),4)</f>
        <v>1.3237000000000001</v>
      </c>
      <c r="Z3" s="3142">
        <f t="shared" ref="Z3:Z21" si="0">Y3</f>
        <v>1.3237000000000001</v>
      </c>
      <c r="AA3" s="3142">
        <f>ROUND(SUMPRODUCT(PRODUCT(1+P3:P$23)),4)</f>
        <v>1.554</v>
      </c>
      <c r="AB3" s="3142">
        <f>ROUND(SUMPRODUCT(PRODUCT(1+Q3:Q$23)),4)</f>
        <v>1.3087</v>
      </c>
      <c r="AD3" s="3143">
        <f>ROUND(AVERAGE(I3:I$24)/100,4)</f>
        <v>2.1899999999999999E-2</v>
      </c>
      <c r="AE3" s="3143">
        <f>ROUND(AVERAGE(J3:J$24)/100,4)</f>
        <v>1.5299999999999999E-2</v>
      </c>
      <c r="AF3" s="3143">
        <f t="shared" ref="AF3:AF22" si="1">AE3</f>
        <v>1.5299999999999999E-2</v>
      </c>
      <c r="AG3" s="3143">
        <f>ROUND(AVERAGE(K3:K$24)/100,4)</f>
        <v>2.41E-2</v>
      </c>
      <c r="AH3" s="3143">
        <f>ROUND(AVERAGE(L3:L$24)/100,4)</f>
        <v>1.4200000000000001E-2</v>
      </c>
    </row>
    <row r="4" spans="1:34" s="2750" customFormat="1" ht="14.25">
      <c r="B4" s="2751"/>
      <c r="C4" s="2751"/>
      <c r="D4" s="2752"/>
      <c r="E4" s="2752"/>
      <c r="F4" s="2751"/>
      <c r="G4" s="2756"/>
      <c r="H4" s="2753"/>
      <c r="I4" s="3129"/>
      <c r="J4" s="3129"/>
      <c r="K4" s="3129"/>
      <c r="L4" s="3129"/>
      <c r="N4" s="2756"/>
      <c r="O4" s="2754"/>
      <c r="P4" s="2754"/>
      <c r="Q4" s="2754"/>
      <c r="R4" s="2754"/>
      <c r="S4" s="2756"/>
      <c r="T4" s="2754"/>
      <c r="U4" s="2754"/>
      <c r="V4" s="2754"/>
      <c r="W4" s="3145"/>
      <c r="X4" s="2755"/>
      <c r="Y4" s="2755"/>
      <c r="Z4" s="2755"/>
      <c r="AA4" s="2755"/>
      <c r="AB4" s="2755"/>
      <c r="AD4" s="2675"/>
      <c r="AE4" s="2675"/>
      <c r="AF4" s="2675"/>
      <c r="AG4" s="2675"/>
      <c r="AH4" s="2675"/>
    </row>
    <row r="5" spans="1:34" s="3117" customFormat="1">
      <c r="A5" s="3115" t="s">
        <v>2976</v>
      </c>
      <c r="B5" s="2796">
        <f>B6*(1+N5)</f>
        <v>459.95733971036987</v>
      </c>
      <c r="C5" s="2796">
        <f t="shared" ref="C5" si="2">C6*(1+O5)</f>
        <v>341.22221064422405</v>
      </c>
      <c r="D5" s="2796">
        <f t="shared" ref="D5" si="3">C5</f>
        <v>341.22221064422405</v>
      </c>
      <c r="E5" s="2796">
        <f t="shared" ref="E5" si="4">E6*(1+P5)</f>
        <v>657.19161663724799</v>
      </c>
      <c r="F5" s="2796">
        <f t="shared" ref="F5" si="5">F6*(1+Q5)</f>
        <v>300.87803644464805</v>
      </c>
      <c r="G5" s="2756">
        <v>2018</v>
      </c>
      <c r="H5" s="3116">
        <v>4</v>
      </c>
      <c r="I5" s="3130">
        <v>0</v>
      </c>
      <c r="J5" s="3130">
        <v>0</v>
      </c>
      <c r="K5" s="3130">
        <v>0</v>
      </c>
      <c r="L5" s="3130">
        <v>0</v>
      </c>
      <c r="N5" s="2763">
        <f t="shared" ref="N5" si="6">I5/100</f>
        <v>0</v>
      </c>
      <c r="O5" s="2763">
        <f t="shared" ref="O5" si="7">J5/100</f>
        <v>0</v>
      </c>
      <c r="P5" s="2763">
        <f t="shared" ref="P5" si="8">K5/100</f>
        <v>0</v>
      </c>
      <c r="Q5" s="2763">
        <f t="shared" ref="Q5" si="9">L5/100</f>
        <v>0</v>
      </c>
      <c r="R5" s="3118"/>
      <c r="S5" s="3119"/>
      <c r="T5" s="3118"/>
      <c r="U5" s="3118"/>
      <c r="V5" s="3118"/>
      <c r="W5" s="3146" t="s">
        <v>2964</v>
      </c>
      <c r="X5" s="3120">
        <f>ROUND(SUMPRODUCT(PRODUCT(1+N5:N$23)),4)</f>
        <v>1.4956</v>
      </c>
      <c r="Y5" s="3120">
        <f>ROUND(SUMPRODUCT(PRODUCT(1+O5:O$23)),4)</f>
        <v>1.3237000000000001</v>
      </c>
      <c r="Z5" s="3120">
        <f t="shared" ref="Z5" si="10">Y5</f>
        <v>1.3237000000000001</v>
      </c>
      <c r="AA5" s="3120">
        <f>ROUND(SUMPRODUCT(PRODUCT(1+P5:P$23)),4)</f>
        <v>1.554</v>
      </c>
      <c r="AB5" s="3120">
        <f>ROUND(SUMPRODUCT(PRODUCT(1+Q5:Q$23)),4)</f>
        <v>1.3087</v>
      </c>
      <c r="AD5" s="3121">
        <f>ROUND(AVERAGE(I5:I$24)/100,4)</f>
        <v>2.1899999999999999E-2</v>
      </c>
      <c r="AE5" s="3121">
        <f>ROUND(AVERAGE(J5:J$24)/100,4)</f>
        <v>1.5299999999999999E-2</v>
      </c>
      <c r="AF5" s="3121">
        <f t="shared" ref="AF5" si="11">AE5</f>
        <v>1.5299999999999999E-2</v>
      </c>
      <c r="AG5" s="3121">
        <f>ROUND(AVERAGE(K5:K$24)/100,4)</f>
        <v>2.41E-2</v>
      </c>
      <c r="AH5" s="3121">
        <f>ROUND(AVERAGE(L5:L$24)/100,4)</f>
        <v>1.4200000000000001E-2</v>
      </c>
    </row>
    <row r="6" spans="1:34" s="2762" customFormat="1" ht="13.5" thickBot="1">
      <c r="A6" s="2656" t="s">
        <v>2974</v>
      </c>
      <c r="B6" s="2670">
        <f>B7*(1+N6)</f>
        <v>459.95733971036987</v>
      </c>
      <c r="C6" s="2670">
        <f t="shared" ref="C6" si="12">C7*(1+O6)</f>
        <v>341.22221064422405</v>
      </c>
      <c r="D6" s="2670">
        <f t="shared" ref="D6" si="13">C6</f>
        <v>341.22221064422405</v>
      </c>
      <c r="E6" s="2670">
        <f t="shared" ref="E6" si="14">E7*(1+P6)</f>
        <v>657.19161663724799</v>
      </c>
      <c r="F6" s="2670">
        <f t="shared" ref="F6" si="15">F7*(1+Q6)</f>
        <v>300.87803644464805</v>
      </c>
      <c r="G6" s="3135"/>
      <c r="H6" s="2660">
        <v>3</v>
      </c>
      <c r="I6" s="2660">
        <v>1.51</v>
      </c>
      <c r="J6" s="2660">
        <v>1.41</v>
      </c>
      <c r="K6" s="2660">
        <v>1.52</v>
      </c>
      <c r="L6" s="2671">
        <v>1.74</v>
      </c>
      <c r="M6" s="2664"/>
      <c r="N6" s="2665">
        <f t="shared" ref="N6" si="16">I6/100</f>
        <v>1.5100000000000001E-2</v>
      </c>
      <c r="O6" s="2666">
        <f t="shared" ref="O6" si="17">J6/100</f>
        <v>1.41E-2</v>
      </c>
      <c r="P6" s="2666">
        <f t="shared" ref="P6" si="18">K6/100</f>
        <v>1.52E-2</v>
      </c>
      <c r="Q6" s="2666">
        <f t="shared" ref="Q6" si="19">L6/100</f>
        <v>1.7399999999999999E-2</v>
      </c>
      <c r="R6" s="2667"/>
      <c r="S6" s="2673"/>
      <c r="T6" s="2674"/>
      <c r="U6" s="2674"/>
      <c r="V6" s="2674"/>
      <c r="W6" s="2664"/>
      <c r="X6" s="2755">
        <f>ROUND(SUMPRODUCT(PRODUCT(1+N6:N$23)),4)</f>
        <v>1.4956</v>
      </c>
      <c r="Y6" s="2755">
        <f>ROUND(SUMPRODUCT(PRODUCT(1+O6:O$23)),4)</f>
        <v>1.3237000000000001</v>
      </c>
      <c r="Z6" s="2755">
        <f t="shared" ref="Z6" si="20">Y6</f>
        <v>1.3237000000000001</v>
      </c>
      <c r="AA6" s="2755">
        <f>ROUND(SUMPRODUCT(PRODUCT(1+P6:P$23)),4)</f>
        <v>1.554</v>
      </c>
      <c r="AB6" s="2755">
        <f>ROUND(SUMPRODUCT(PRODUCT(1+Q6:Q$23)),4)</f>
        <v>1.3087</v>
      </c>
      <c r="AC6" s="2664"/>
      <c r="AD6" s="2675">
        <f>ROUND(AVERAGE(I6:I$24)/100,4)</f>
        <v>2.3099999999999999E-2</v>
      </c>
      <c r="AE6" s="2675">
        <f>ROUND(AVERAGE(J6:J$24)/100,4)</f>
        <v>1.61E-2</v>
      </c>
      <c r="AF6" s="2675">
        <f t="shared" ref="AF6" si="21">AE6</f>
        <v>1.61E-2</v>
      </c>
      <c r="AG6" s="2675">
        <f>ROUND(AVERAGE(K6:K$24)/100,4)</f>
        <v>2.53E-2</v>
      </c>
      <c r="AH6" s="2675">
        <f>ROUND(AVERAGE(L6:L$24)/100,4)</f>
        <v>1.4999999999999999E-2</v>
      </c>
    </row>
    <row r="7" spans="1:34" s="2762" customFormat="1" ht="13.5" thickBot="1">
      <c r="A7" s="2656" t="s">
        <v>2975</v>
      </c>
      <c r="B7" s="2670">
        <f>B8*(1+N7)</f>
        <v>453.11529869999993</v>
      </c>
      <c r="C7" s="2670">
        <f t="shared" ref="C7" si="22">C8*(1+O7)</f>
        <v>336.47787264000004</v>
      </c>
      <c r="D7" s="2670">
        <f t="shared" ref="D7" si="23">C7</f>
        <v>336.47787264000004</v>
      </c>
      <c r="E7" s="2670">
        <f t="shared" ref="E7" si="24">E8*(1+P7)</f>
        <v>647.35186823999993</v>
      </c>
      <c r="F7" s="2670">
        <f t="shared" ref="F7" si="25">F8*(1+Q7)</f>
        <v>295.73229452000004</v>
      </c>
      <c r="G7" s="3135"/>
      <c r="H7" s="2660">
        <v>2</v>
      </c>
      <c r="I7" s="2660">
        <v>1.49</v>
      </c>
      <c r="J7" s="2660">
        <v>0.96</v>
      </c>
      <c r="K7" s="2660">
        <v>1.58</v>
      </c>
      <c r="L7" s="2671">
        <v>2.44</v>
      </c>
      <c r="M7" s="2664"/>
      <c r="N7" s="2665">
        <f t="shared" ref="N7" si="26">I7/100</f>
        <v>1.49E-2</v>
      </c>
      <c r="O7" s="2666">
        <f t="shared" ref="O7" si="27">J7/100</f>
        <v>9.5999999999999992E-3</v>
      </c>
      <c r="P7" s="2666">
        <f t="shared" ref="P7" si="28">K7/100</f>
        <v>1.5800000000000002E-2</v>
      </c>
      <c r="Q7" s="2666">
        <f t="shared" ref="Q7" si="29">L7/100</f>
        <v>2.4399999999999998E-2</v>
      </c>
      <c r="R7" s="2667"/>
      <c r="S7" s="2673"/>
      <c r="T7" s="2674"/>
      <c r="U7" s="2674"/>
      <c r="V7" s="2674"/>
      <c r="W7" s="2664"/>
      <c r="X7" s="2755">
        <f>ROUND(SUMPRODUCT(PRODUCT(1+N7:N$23)),4)</f>
        <v>1.4733000000000001</v>
      </c>
      <c r="Y7" s="2755">
        <f>ROUND(SUMPRODUCT(PRODUCT(1+O7:O$23)),4)</f>
        <v>1.3052999999999999</v>
      </c>
      <c r="Z7" s="2755">
        <f t="shared" ref="Z7" si="30">Y7</f>
        <v>1.3052999999999999</v>
      </c>
      <c r="AA7" s="2755">
        <f>ROUND(SUMPRODUCT(PRODUCT(1+P7:P$23)),4)</f>
        <v>1.5306999999999999</v>
      </c>
      <c r="AB7" s="2755">
        <f>ROUND(SUMPRODUCT(PRODUCT(1+Q7:Q$23)),4)</f>
        <v>1.2863</v>
      </c>
      <c r="AC7" s="2664"/>
      <c r="AD7" s="2675">
        <f>ROUND(AVERAGE(I7:I$24)/100,4)</f>
        <v>2.35E-2</v>
      </c>
      <c r="AE7" s="2675">
        <f>ROUND(AVERAGE(J7:J$24)/100,4)</f>
        <v>1.6199999999999999E-2</v>
      </c>
      <c r="AF7" s="2675">
        <f t="shared" ref="AF7" si="31">AE7</f>
        <v>1.6199999999999999E-2</v>
      </c>
      <c r="AG7" s="2675">
        <f>ROUND(AVERAGE(K7:K$24)/100,4)</f>
        <v>2.5899999999999999E-2</v>
      </c>
      <c r="AH7" s="2675">
        <f>ROUND(AVERAGE(L7:L$24)/100,4)</f>
        <v>1.49E-2</v>
      </c>
    </row>
    <row r="8" spans="1:34" s="2762" customFormat="1" ht="13.5" thickBot="1">
      <c r="A8" s="2656" t="s">
        <v>2970</v>
      </c>
      <c r="B8" s="2670">
        <f>B9*(1+N8)</f>
        <v>446.46299999999997</v>
      </c>
      <c r="C8" s="2670">
        <f t="shared" ref="C8" si="32">C9*(1+O8)</f>
        <v>333.27840000000003</v>
      </c>
      <c r="D8" s="2670">
        <f t="shared" ref="D8:D13" si="33">C8</f>
        <v>333.27840000000003</v>
      </c>
      <c r="E8" s="2670">
        <f t="shared" ref="E8" si="34">E9*(1+P8)</f>
        <v>637.28279999999995</v>
      </c>
      <c r="F8" s="2670">
        <f t="shared" ref="F8" si="35">F9*(1+Q8)</f>
        <v>288.68830000000003</v>
      </c>
      <c r="G8" s="3135"/>
      <c r="H8" s="2660">
        <v>1</v>
      </c>
      <c r="I8" s="2660">
        <v>1.7</v>
      </c>
      <c r="J8" s="2660">
        <v>1.92</v>
      </c>
      <c r="K8" s="2660">
        <v>1.64</v>
      </c>
      <c r="L8" s="2671">
        <v>2.0099999999999998</v>
      </c>
      <c r="M8" s="2664"/>
      <c r="N8" s="2665">
        <f t="shared" ref="N8:N13" si="36">I8/100</f>
        <v>1.7000000000000001E-2</v>
      </c>
      <c r="O8" s="2666">
        <f t="shared" ref="O8" si="37">J8/100</f>
        <v>1.9199999999999998E-2</v>
      </c>
      <c r="P8" s="2666">
        <f t="shared" ref="P8" si="38">K8/100</f>
        <v>1.6399999999999998E-2</v>
      </c>
      <c r="Q8" s="2666">
        <f t="shared" ref="Q8" si="39">L8/100</f>
        <v>2.0099999999999996E-2</v>
      </c>
      <c r="R8" s="2667"/>
      <c r="S8" s="2673">
        <f>B8/B9-1</f>
        <v>1.6999999999999904E-2</v>
      </c>
      <c r="T8" s="2674">
        <f>C8/C9-1</f>
        <v>1.9200000000000106E-2</v>
      </c>
      <c r="U8" s="2674">
        <f>E8/E9-1</f>
        <v>1.639999999999997E-2</v>
      </c>
      <c r="V8" s="2674">
        <f>F8/F9-1</f>
        <v>2.0100000000000007E-2</v>
      </c>
      <c r="W8" s="2664"/>
      <c r="X8" s="2755">
        <f>ROUND(SUMPRODUCT(PRODUCT(1+N8:N$23)),4)</f>
        <v>1.4517</v>
      </c>
      <c r="Y8" s="2755">
        <f>ROUND(SUMPRODUCT(PRODUCT(1+O8:O$23)),4)</f>
        <v>1.2928999999999999</v>
      </c>
      <c r="Z8" s="2755">
        <f t="shared" ref="Z8" si="40">Y8</f>
        <v>1.2928999999999999</v>
      </c>
      <c r="AA8" s="2755">
        <f>ROUND(SUMPRODUCT(PRODUCT(1+P8:P$23)),4)</f>
        <v>1.5068999999999999</v>
      </c>
      <c r="AB8" s="2755">
        <f>ROUND(SUMPRODUCT(PRODUCT(1+Q8:Q$23)),4)</f>
        <v>1.2557</v>
      </c>
      <c r="AC8" s="2664"/>
      <c r="AD8" s="2675">
        <f>ROUND(AVERAGE(I8:I$24)/100,4)</f>
        <v>2.4E-2</v>
      </c>
      <c r="AE8" s="2675">
        <f>ROUND(AVERAGE(J8:J$24)/100,4)</f>
        <v>1.66E-2</v>
      </c>
      <c r="AF8" s="2675">
        <f t="shared" ref="AF8" si="41">AE8</f>
        <v>1.66E-2</v>
      </c>
      <c r="AG8" s="2675">
        <f>ROUND(AVERAGE(K8:K$24)/100,4)</f>
        <v>2.6499999999999999E-2</v>
      </c>
      <c r="AH8" s="2675">
        <f>ROUND(AVERAGE(L8:L$24)/100,4)</f>
        <v>1.43E-2</v>
      </c>
    </row>
    <row r="9" spans="1:34">
      <c r="A9" s="2656" t="s">
        <v>2961</v>
      </c>
      <c r="B9" s="3150">
        <v>439</v>
      </c>
      <c r="C9" s="3150">
        <v>327</v>
      </c>
      <c r="D9" s="3150">
        <f t="shared" si="33"/>
        <v>327</v>
      </c>
      <c r="E9" s="3150">
        <v>627</v>
      </c>
      <c r="F9" s="3151">
        <v>283</v>
      </c>
      <c r="G9" s="3133">
        <v>2017</v>
      </c>
      <c r="H9" s="2657">
        <v>4</v>
      </c>
      <c r="I9" s="2657">
        <v>1.71</v>
      </c>
      <c r="J9" s="2657">
        <v>1.78</v>
      </c>
      <c r="K9" s="2657">
        <v>1.71</v>
      </c>
      <c r="L9" s="2658">
        <v>1.43</v>
      </c>
      <c r="N9" s="2678">
        <f t="shared" si="36"/>
        <v>1.7100000000000001E-2</v>
      </c>
      <c r="O9" s="2679">
        <f t="shared" ref="O9" si="42">J9/100</f>
        <v>1.78E-2</v>
      </c>
      <c r="P9" s="2679">
        <f t="shared" ref="P9" si="43">K9/100</f>
        <v>1.7100000000000001E-2</v>
      </c>
      <c r="Q9" s="2679">
        <f t="shared" ref="Q9" si="44">L9/100</f>
        <v>1.43E-2</v>
      </c>
      <c r="R9" s="2667"/>
      <c r="S9" s="2668"/>
      <c r="T9" s="2669"/>
      <c r="U9" s="2669"/>
      <c r="V9" s="2669"/>
      <c r="X9" s="2755">
        <f>ROUND(SUMPRODUCT(PRODUCT(1+N9:N$23)),4)</f>
        <v>1.4274</v>
      </c>
      <c r="Y9" s="2755">
        <f>ROUND(SUMPRODUCT(PRODUCT(1+O9:O$23)),4)</f>
        <v>1.2685</v>
      </c>
      <c r="Z9" s="2755">
        <f t="shared" si="0"/>
        <v>1.2685</v>
      </c>
      <c r="AA9" s="2755">
        <f>ROUND(SUMPRODUCT(PRODUCT(1+P9:P$23)),4)</f>
        <v>1.4825999999999999</v>
      </c>
      <c r="AB9" s="2755">
        <f>ROUND(SUMPRODUCT(PRODUCT(1+Q9:Q$23)),4)</f>
        <v>1.2309000000000001</v>
      </c>
      <c r="AD9" s="2675">
        <f>ROUND(AVERAGE(I9:I$24)/100,4)</f>
        <v>2.4500000000000001E-2</v>
      </c>
      <c r="AE9" s="2675">
        <f>ROUND(AVERAGE(J9:J$24)/100,4)</f>
        <v>1.6500000000000001E-2</v>
      </c>
      <c r="AF9" s="2675">
        <f t="shared" si="1"/>
        <v>1.6500000000000001E-2</v>
      </c>
      <c r="AG9" s="2675">
        <f>ROUND(AVERAGE(K9:K$24)/100,4)</f>
        <v>2.7099999999999999E-2</v>
      </c>
      <c r="AH9" s="2675">
        <f>ROUND(AVERAGE(L9:L$24)/100,4)</f>
        <v>1.3899999999999999E-2</v>
      </c>
    </row>
    <row r="10" spans="1:34" s="2762" customFormat="1" ht="13.5" thickBot="1">
      <c r="A10" s="2656" t="s">
        <v>2965</v>
      </c>
      <c r="B10" s="2670">
        <f t="shared" ref="B10:C12" si="45">B11*(1+N10)</f>
        <v>431.80730811680002</v>
      </c>
      <c r="C10" s="2670">
        <f t="shared" si="45"/>
        <v>320.57880516480003</v>
      </c>
      <c r="D10" s="2670">
        <f t="shared" si="33"/>
        <v>320.57880516480003</v>
      </c>
      <c r="E10" s="2670">
        <f t="shared" ref="E10:F12" si="46">E11*(1+P10)</f>
        <v>615.96110553196797</v>
      </c>
      <c r="F10" s="2670">
        <f t="shared" si="46"/>
        <v>279.46777300108801</v>
      </c>
      <c r="G10" s="3135"/>
      <c r="H10" s="2660">
        <v>3</v>
      </c>
      <c r="I10" s="2660">
        <v>2.98</v>
      </c>
      <c r="J10" s="2660">
        <v>2.11</v>
      </c>
      <c r="K10" s="2660">
        <v>3.24</v>
      </c>
      <c r="L10" s="2671">
        <v>1.72</v>
      </c>
      <c r="M10" s="2664"/>
      <c r="N10" s="2665">
        <f t="shared" si="36"/>
        <v>2.98E-2</v>
      </c>
      <c r="O10" s="2683">
        <f t="shared" ref="O10:O11" si="47">J10/100</f>
        <v>2.1099999999999997E-2</v>
      </c>
      <c r="P10" s="2683">
        <f t="shared" ref="P10:P11" si="48">K10/100</f>
        <v>3.2400000000000005E-2</v>
      </c>
      <c r="Q10" s="2683">
        <f t="shared" ref="Q10:Q11" si="49">L10/100</f>
        <v>1.72E-2</v>
      </c>
      <c r="R10" s="2667"/>
      <c r="S10" s="2673"/>
      <c r="T10" s="2674"/>
      <c r="U10" s="2674"/>
      <c r="V10" s="2674"/>
      <c r="W10" s="2664"/>
      <c r="X10" s="2755">
        <f>ROUND(SUMPRODUCT(PRODUCT(1+N10:N$23)),4)</f>
        <v>1.4034</v>
      </c>
      <c r="Y10" s="2755">
        <f>ROUND(SUMPRODUCT(PRODUCT(1+O10:O$23)),4)</f>
        <v>1.2463</v>
      </c>
      <c r="Z10" s="2755">
        <f t="shared" si="0"/>
        <v>1.2463</v>
      </c>
      <c r="AA10" s="2755">
        <f>ROUND(SUMPRODUCT(PRODUCT(1+P10:P$23)),4)</f>
        <v>1.4577</v>
      </c>
      <c r="AB10" s="2755">
        <f>ROUND(SUMPRODUCT(PRODUCT(1+Q10:Q$23)),4)</f>
        <v>1.2136</v>
      </c>
      <c r="AC10" s="2664"/>
      <c r="AD10" s="2675">
        <f>ROUND(AVERAGE(I10:I$24)/100,4)</f>
        <v>2.4899999999999999E-2</v>
      </c>
      <c r="AE10" s="2675">
        <f>ROUND(AVERAGE(J10:J$24)/100,4)</f>
        <v>1.6400000000000001E-2</v>
      </c>
      <c r="AF10" s="2675">
        <f t="shared" si="1"/>
        <v>1.6400000000000001E-2</v>
      </c>
      <c r="AG10" s="2675">
        <f>ROUND(AVERAGE(K10:K$24)/100,4)</f>
        <v>2.7799999999999998E-2</v>
      </c>
      <c r="AH10" s="2675">
        <f>ROUND(AVERAGE(L10:L$24)/100,4)</f>
        <v>1.3899999999999999E-2</v>
      </c>
    </row>
    <row r="11" spans="1:34" s="2654" customFormat="1">
      <c r="A11" s="2656" t="s">
        <v>2581</v>
      </c>
      <c r="B11" s="2670">
        <f t="shared" si="45"/>
        <v>419.31181600000002</v>
      </c>
      <c r="C11" s="2670">
        <f t="shared" si="45"/>
        <v>313.95436800000004</v>
      </c>
      <c r="D11" s="2670">
        <f t="shared" si="33"/>
        <v>313.95436800000004</v>
      </c>
      <c r="E11" s="2670">
        <f t="shared" si="46"/>
        <v>596.63028431999999</v>
      </c>
      <c r="F11" s="2670">
        <f t="shared" si="46"/>
        <v>274.74220703999998</v>
      </c>
      <c r="G11" s="3134"/>
      <c r="H11" s="2661">
        <v>2</v>
      </c>
      <c r="I11" s="2661">
        <v>3.4</v>
      </c>
      <c r="J11" s="2661">
        <v>2</v>
      </c>
      <c r="K11" s="2661">
        <v>3.82</v>
      </c>
      <c r="L11" s="2672">
        <v>1.68</v>
      </c>
      <c r="N11" s="2665">
        <f t="shared" si="36"/>
        <v>3.4000000000000002E-2</v>
      </c>
      <c r="O11" s="2683">
        <f t="shared" si="47"/>
        <v>0.02</v>
      </c>
      <c r="P11" s="2683">
        <f t="shared" si="48"/>
        <v>3.8199999999999998E-2</v>
      </c>
      <c r="Q11" s="2683">
        <f t="shared" si="49"/>
        <v>1.6799999999999999E-2</v>
      </c>
      <c r="R11" s="2655"/>
      <c r="S11" s="2659"/>
      <c r="T11" s="2655"/>
      <c r="U11" s="2655"/>
      <c r="V11" s="2655"/>
      <c r="X11" s="2755">
        <f>ROUND(SUMPRODUCT(PRODUCT(1+N11:N$23)),4)</f>
        <v>1.3628</v>
      </c>
      <c r="Y11" s="2755">
        <f>ROUND(SUMPRODUCT(PRODUCT(1+O11:O$23)),4)</f>
        <v>1.2205999999999999</v>
      </c>
      <c r="Z11" s="2755">
        <f t="shared" si="0"/>
        <v>1.2205999999999999</v>
      </c>
      <c r="AA11" s="2755">
        <f>ROUND(SUMPRODUCT(PRODUCT(1+P11:P$23)),4)</f>
        <v>1.4118999999999999</v>
      </c>
      <c r="AB11" s="2755">
        <f>ROUND(SUMPRODUCT(PRODUCT(1+Q11:Q$23)),4)</f>
        <v>1.1930000000000001</v>
      </c>
      <c r="AD11" s="2675">
        <f>ROUND(AVERAGE(I11:I$24)/100,4)</f>
        <v>2.46E-2</v>
      </c>
      <c r="AE11" s="2675">
        <f>ROUND(AVERAGE(J11:J$24)/100,4)</f>
        <v>1.6E-2</v>
      </c>
      <c r="AF11" s="2675">
        <f t="shared" si="1"/>
        <v>1.6E-2</v>
      </c>
      <c r="AG11" s="2675">
        <f>ROUND(AVERAGE(K11:K$24)/100,4)</f>
        <v>2.75E-2</v>
      </c>
      <c r="AH11" s="2675">
        <f>ROUND(AVERAGE(L11:L$24)/100,4)</f>
        <v>1.37E-2</v>
      </c>
    </row>
    <row r="12" spans="1:34" s="2762" customFormat="1" ht="13.5" thickBot="1">
      <c r="A12" s="2656" t="s">
        <v>2582</v>
      </c>
      <c r="B12" s="2670">
        <f t="shared" si="45"/>
        <v>405.524</v>
      </c>
      <c r="C12" s="2670">
        <f t="shared" si="45"/>
        <v>307.79840000000002</v>
      </c>
      <c r="D12" s="2670">
        <f t="shared" si="33"/>
        <v>307.79840000000002</v>
      </c>
      <c r="E12" s="2670">
        <f t="shared" si="46"/>
        <v>574.67759999999998</v>
      </c>
      <c r="F12" s="2670">
        <f t="shared" si="46"/>
        <v>270.20280000000002</v>
      </c>
      <c r="G12" s="3135"/>
      <c r="H12" s="2660">
        <v>1</v>
      </c>
      <c r="I12" s="2660">
        <v>3.45</v>
      </c>
      <c r="J12" s="2660">
        <v>1.92</v>
      </c>
      <c r="K12" s="2660">
        <v>3.92</v>
      </c>
      <c r="L12" s="2671">
        <v>1.58</v>
      </c>
      <c r="M12" s="2664"/>
      <c r="N12" s="2673">
        <f t="shared" si="36"/>
        <v>3.4500000000000003E-2</v>
      </c>
      <c r="O12" s="2674">
        <f t="shared" ref="O12" si="50">J12/100</f>
        <v>1.9199999999999998E-2</v>
      </c>
      <c r="P12" s="2674">
        <f t="shared" ref="P12" si="51">K12/100</f>
        <v>3.9199999999999999E-2</v>
      </c>
      <c r="Q12" s="2674">
        <f t="shared" ref="Q12" si="52">L12/100</f>
        <v>1.5800000000000002E-2</v>
      </c>
      <c r="R12" s="2667"/>
      <c r="S12" s="2673">
        <f>B12/B13-1</f>
        <v>3.4499999999999975E-2</v>
      </c>
      <c r="T12" s="2674">
        <f>C12/C13-1</f>
        <v>1.9200000000000106E-2</v>
      </c>
      <c r="U12" s="2674">
        <f>E12/E13-1</f>
        <v>3.9199999999999902E-2</v>
      </c>
      <c r="V12" s="2674">
        <f>F12/F13-1</f>
        <v>1.5800000000000036E-2</v>
      </c>
      <c r="W12" s="2664"/>
      <c r="X12" s="2755">
        <f>ROUND(SUMPRODUCT(PRODUCT(1+N12:N$23)),4)</f>
        <v>1.3180000000000001</v>
      </c>
      <c r="Y12" s="2755">
        <f>ROUND(SUMPRODUCT(PRODUCT(1+O12:O$23)),4)</f>
        <v>1.1966000000000001</v>
      </c>
      <c r="Z12" s="2755">
        <f t="shared" si="0"/>
        <v>1.1966000000000001</v>
      </c>
      <c r="AA12" s="2755">
        <f>ROUND(SUMPRODUCT(PRODUCT(1+P12:P$23)),4)</f>
        <v>1.36</v>
      </c>
      <c r="AB12" s="2755">
        <f>ROUND(SUMPRODUCT(PRODUCT(1+Q12:Q$23)),4)</f>
        <v>1.1733</v>
      </c>
      <c r="AC12" s="2664"/>
      <c r="AD12" s="2675">
        <f>ROUND(AVERAGE(I12:I$24)/100,4)</f>
        <v>2.3900000000000001E-2</v>
      </c>
      <c r="AE12" s="2675">
        <f>ROUND(AVERAGE(J12:J$24)/100,4)</f>
        <v>1.5699999999999999E-2</v>
      </c>
      <c r="AF12" s="2675">
        <f t="shared" si="1"/>
        <v>1.5699999999999999E-2</v>
      </c>
      <c r="AG12" s="2675">
        <f>ROUND(AVERAGE(K12:K$24)/100,4)</f>
        <v>2.6599999999999999E-2</v>
      </c>
      <c r="AH12" s="2675">
        <f>ROUND(AVERAGE(L12:L$24)/100,4)</f>
        <v>1.34E-2</v>
      </c>
    </row>
    <row r="13" spans="1:34">
      <c r="A13" s="2656" t="s">
        <v>971</v>
      </c>
      <c r="B13" s="2662">
        <v>392</v>
      </c>
      <c r="C13" s="2662">
        <v>302</v>
      </c>
      <c r="D13" s="2662">
        <f t="shared" si="33"/>
        <v>302</v>
      </c>
      <c r="E13" s="2662">
        <v>553</v>
      </c>
      <c r="F13" s="2663">
        <v>266</v>
      </c>
      <c r="G13" s="3459">
        <v>2016</v>
      </c>
      <c r="H13" s="2657">
        <v>4</v>
      </c>
      <c r="I13" s="2657">
        <v>4.5599999999999996</v>
      </c>
      <c r="J13" s="2657">
        <v>2.15</v>
      </c>
      <c r="K13" s="2657">
        <v>5.32</v>
      </c>
      <c r="L13" s="2658">
        <v>1.57</v>
      </c>
      <c r="N13" s="2665">
        <f t="shared" si="36"/>
        <v>4.5599999999999995E-2</v>
      </c>
      <c r="O13" s="2666">
        <f t="shared" ref="O13:Q28" si="53">J13/100</f>
        <v>2.1499999999999998E-2</v>
      </c>
      <c r="P13" s="2666">
        <f t="shared" si="53"/>
        <v>5.3200000000000004E-2</v>
      </c>
      <c r="Q13" s="2666">
        <f t="shared" si="53"/>
        <v>1.5700000000000002E-2</v>
      </c>
      <c r="R13" s="2667"/>
      <c r="S13" s="2668"/>
      <c r="T13" s="2669"/>
      <c r="U13" s="2669"/>
      <c r="V13" s="2669"/>
      <c r="X13" s="2755">
        <f>ROUND(SUMPRODUCT(PRODUCT(1+N13:N$23)),4)</f>
        <v>1.274</v>
      </c>
      <c r="Y13" s="2755">
        <f>ROUND(SUMPRODUCT(PRODUCT(1+O13:O$23)),4)</f>
        <v>1.1740999999999999</v>
      </c>
      <c r="Z13" s="2755">
        <f t="shared" si="0"/>
        <v>1.1740999999999999</v>
      </c>
      <c r="AA13" s="2755">
        <f>ROUND(SUMPRODUCT(PRODUCT(1+P13:P$23)),4)</f>
        <v>1.3087</v>
      </c>
      <c r="AB13" s="2755">
        <f>ROUND(SUMPRODUCT(PRODUCT(1+Q13:Q$23)),4)</f>
        <v>1.1551</v>
      </c>
      <c r="AD13" s="2675">
        <f>ROUND(AVERAGE(I13:I$24)/100,4)</f>
        <v>2.3E-2</v>
      </c>
      <c r="AE13" s="2675">
        <f>ROUND(AVERAGE(J13:J$24)/100,4)</f>
        <v>1.55E-2</v>
      </c>
      <c r="AF13" s="2675">
        <f t="shared" si="1"/>
        <v>1.55E-2</v>
      </c>
      <c r="AG13" s="2675">
        <f>ROUND(AVERAGE(K13:K$24)/100,4)</f>
        <v>2.5600000000000001E-2</v>
      </c>
      <c r="AH13" s="2675">
        <f>ROUND(AVERAGE(L13:L$24)/100,4)</f>
        <v>1.32E-2</v>
      </c>
    </row>
    <row r="14" spans="1:34">
      <c r="A14" s="2656" t="s">
        <v>970</v>
      </c>
      <c r="B14" s="2670">
        <f t="shared" ref="B14:C16" si="54">B13/(1+N13)</f>
        <v>374.90436113236416</v>
      </c>
      <c r="C14" s="2670">
        <f t="shared" si="54"/>
        <v>295.64366128242779</v>
      </c>
      <c r="D14" s="2670">
        <f t="shared" ref="D14:D73" si="55">C14</f>
        <v>295.64366128242779</v>
      </c>
      <c r="E14" s="2670">
        <f t="shared" ref="E14:F16" si="56">E13/(1+P13)</f>
        <v>525.06646410938095</v>
      </c>
      <c r="F14" s="2670">
        <f t="shared" si="56"/>
        <v>261.88835286009646</v>
      </c>
      <c r="G14" s="3457"/>
      <c r="H14" s="2660">
        <v>3</v>
      </c>
      <c r="I14" s="2660">
        <v>4.12</v>
      </c>
      <c r="J14" s="2660">
        <v>2</v>
      </c>
      <c r="K14" s="2660">
        <v>4.79</v>
      </c>
      <c r="L14" s="2671">
        <v>1.97</v>
      </c>
      <c r="N14" s="2665">
        <f t="shared" ref="N14:Q48" si="57">I14/100</f>
        <v>4.1200000000000001E-2</v>
      </c>
      <c r="O14" s="2666">
        <f t="shared" si="53"/>
        <v>0.02</v>
      </c>
      <c r="P14" s="2666">
        <f t="shared" si="53"/>
        <v>4.7899999999999998E-2</v>
      </c>
      <c r="Q14" s="2666">
        <f t="shared" si="53"/>
        <v>1.9699999999999999E-2</v>
      </c>
      <c r="R14" s="2667"/>
      <c r="S14" s="2665"/>
      <c r="T14" s="2666"/>
      <c r="U14" s="2666"/>
      <c r="V14" s="2666"/>
      <c r="X14" s="2755">
        <f>ROUND(SUMPRODUCT(PRODUCT(1+N14:N$23)),4)</f>
        <v>1.2184999999999999</v>
      </c>
      <c r="Y14" s="2755">
        <f>ROUND(SUMPRODUCT(PRODUCT(1+O14:O$23)),4)</f>
        <v>1.1494</v>
      </c>
      <c r="Z14" s="2755">
        <f t="shared" si="0"/>
        <v>1.1494</v>
      </c>
      <c r="AA14" s="2755">
        <f>ROUND(SUMPRODUCT(PRODUCT(1+P14:P$23)),4)</f>
        <v>1.2425999999999999</v>
      </c>
      <c r="AB14" s="2755">
        <f>ROUND(SUMPRODUCT(PRODUCT(1+Q14:Q$23)),4)</f>
        <v>1.1372</v>
      </c>
      <c r="AD14" s="2675">
        <f>ROUND(AVERAGE(I14:I$24)/100,4)</f>
        <v>2.0899999999999998E-2</v>
      </c>
      <c r="AE14" s="2675">
        <f>ROUND(AVERAGE(J14:J$24)/100,4)</f>
        <v>1.49E-2</v>
      </c>
      <c r="AF14" s="2675">
        <f t="shared" si="1"/>
        <v>1.49E-2</v>
      </c>
      <c r="AG14" s="2675">
        <f>ROUND(AVERAGE(K14:K$24)/100,4)</f>
        <v>2.3099999999999999E-2</v>
      </c>
      <c r="AH14" s="2675">
        <f>ROUND(AVERAGE(L14:L$24)/100,4)</f>
        <v>1.2999999999999999E-2</v>
      </c>
    </row>
    <row r="15" spans="1:34">
      <c r="A15" s="2656" t="s">
        <v>960</v>
      </c>
      <c r="B15" s="2670">
        <f t="shared" si="54"/>
        <v>360.06949782209392</v>
      </c>
      <c r="C15" s="2670">
        <f t="shared" si="54"/>
        <v>289.84672674747821</v>
      </c>
      <c r="D15" s="2670">
        <f t="shared" si="55"/>
        <v>289.84672674747821</v>
      </c>
      <c r="E15" s="2670">
        <f t="shared" si="56"/>
        <v>501.06543001181495</v>
      </c>
      <c r="F15" s="2670">
        <f t="shared" si="56"/>
        <v>256.82882500744967</v>
      </c>
      <c r="G15" s="3457"/>
      <c r="H15" s="2661">
        <v>2</v>
      </c>
      <c r="I15" s="2661">
        <v>3.85</v>
      </c>
      <c r="J15" s="2661">
        <v>1.95</v>
      </c>
      <c r="K15" s="2661">
        <v>4.4800000000000004</v>
      </c>
      <c r="L15" s="2672">
        <v>1.41</v>
      </c>
      <c r="N15" s="2665">
        <f t="shared" si="57"/>
        <v>3.85E-2</v>
      </c>
      <c r="O15" s="2666">
        <f t="shared" si="53"/>
        <v>1.95E-2</v>
      </c>
      <c r="P15" s="2666">
        <f t="shared" si="53"/>
        <v>4.4800000000000006E-2</v>
      </c>
      <c r="Q15" s="2666">
        <f t="shared" si="53"/>
        <v>1.41E-2</v>
      </c>
      <c r="R15" s="2667"/>
      <c r="S15" s="2665"/>
      <c r="T15" s="2666"/>
      <c r="U15" s="2666"/>
      <c r="V15" s="2666"/>
      <c r="X15" s="2755">
        <f>ROUND(SUMPRODUCT(PRODUCT(1+N15:N$23)),4)</f>
        <v>1.1702999999999999</v>
      </c>
      <c r="Y15" s="2755">
        <f>ROUND(SUMPRODUCT(PRODUCT(1+O15:O$23)),4)</f>
        <v>1.1269</v>
      </c>
      <c r="Z15" s="2755">
        <f t="shared" si="0"/>
        <v>1.1269</v>
      </c>
      <c r="AA15" s="2755">
        <f>ROUND(SUMPRODUCT(PRODUCT(1+P15:P$23)),4)</f>
        <v>1.1858</v>
      </c>
      <c r="AB15" s="2755">
        <f>ROUND(SUMPRODUCT(PRODUCT(1+Q15:Q$23)),4)</f>
        <v>1.1152</v>
      </c>
      <c r="AD15" s="2675">
        <f>ROUND(AVERAGE(I15:I$24)/100,4)</f>
        <v>1.89E-2</v>
      </c>
      <c r="AE15" s="2675">
        <f>ROUND(AVERAGE(J15:J$24)/100,4)</f>
        <v>1.44E-2</v>
      </c>
      <c r="AF15" s="2675">
        <f t="shared" si="1"/>
        <v>1.44E-2</v>
      </c>
      <c r="AG15" s="2675">
        <f>ROUND(AVERAGE(K15:K$24)/100,4)</f>
        <v>2.06E-2</v>
      </c>
      <c r="AH15" s="2675">
        <f>ROUND(AVERAGE(L15:L$24)/100,4)</f>
        <v>1.23E-2</v>
      </c>
    </row>
    <row r="16" spans="1:34" ht="13.5" thickBot="1">
      <c r="A16" s="2656" t="s">
        <v>969</v>
      </c>
      <c r="B16" s="2670">
        <f t="shared" si="54"/>
        <v>346.720748986128</v>
      </c>
      <c r="C16" s="2670">
        <f t="shared" si="54"/>
        <v>284.30282172386285</v>
      </c>
      <c r="D16" s="2670">
        <f t="shared" si="55"/>
        <v>284.30282172386285</v>
      </c>
      <c r="E16" s="2670">
        <f t="shared" si="56"/>
        <v>479.58023546306947</v>
      </c>
      <c r="F16" s="2670">
        <f t="shared" si="56"/>
        <v>253.25788877571213</v>
      </c>
      <c r="G16" s="3458"/>
      <c r="H16" s="2660">
        <v>1</v>
      </c>
      <c r="I16" s="2660">
        <v>4.09</v>
      </c>
      <c r="J16" s="2660">
        <v>2.93</v>
      </c>
      <c r="K16" s="2660">
        <v>4.54</v>
      </c>
      <c r="L16" s="2671">
        <v>1.48</v>
      </c>
      <c r="N16" s="2665">
        <f t="shared" si="57"/>
        <v>4.0899999999999999E-2</v>
      </c>
      <c r="O16" s="2666">
        <f t="shared" si="53"/>
        <v>2.9300000000000003E-2</v>
      </c>
      <c r="P16" s="2666">
        <f t="shared" si="53"/>
        <v>4.5400000000000003E-2</v>
      </c>
      <c r="Q16" s="2666">
        <f t="shared" si="53"/>
        <v>1.4800000000000001E-2</v>
      </c>
      <c r="R16" s="2667"/>
      <c r="S16" s="2673">
        <f>B16/B17-1</f>
        <v>4.1203450408792808E-2</v>
      </c>
      <c r="T16" s="2674">
        <f>C16/C17-1</f>
        <v>2.6363977342465095E-2</v>
      </c>
      <c r="U16" s="2674">
        <f>E16/E17-1</f>
        <v>4.4837114298626357E-2</v>
      </c>
      <c r="V16" s="2674">
        <f>F16/F17-1</f>
        <v>1.7099954922538574E-2</v>
      </c>
      <c r="X16" s="2755">
        <f>ROUND(SUMPRODUCT(PRODUCT(1+N16:N$23)),4)</f>
        <v>1.1269</v>
      </c>
      <c r="Y16" s="2755">
        <f>ROUND(SUMPRODUCT(PRODUCT(1+O16:O$23)),4)</f>
        <v>1.1052999999999999</v>
      </c>
      <c r="Z16" s="2755">
        <f t="shared" si="0"/>
        <v>1.1052999999999999</v>
      </c>
      <c r="AA16" s="2755">
        <f>ROUND(SUMPRODUCT(PRODUCT(1+P16:P$23)),4)</f>
        <v>1.1349</v>
      </c>
      <c r="AB16" s="2755">
        <f>ROUND(SUMPRODUCT(PRODUCT(1+Q16:Q$23)),4)</f>
        <v>1.0996999999999999</v>
      </c>
      <c r="AD16" s="2675">
        <f>ROUND(AVERAGE(I16:I$24)/100,4)</f>
        <v>1.67E-2</v>
      </c>
      <c r="AE16" s="2675">
        <f>ROUND(AVERAGE(J16:J$24)/100,4)</f>
        <v>1.38E-2</v>
      </c>
      <c r="AF16" s="2675">
        <f t="shared" si="1"/>
        <v>1.38E-2</v>
      </c>
      <c r="AG16" s="2675">
        <f>ROUND(AVERAGE(K16:K$24)/100,4)</f>
        <v>1.7899999999999999E-2</v>
      </c>
      <c r="AH16" s="2675">
        <f>ROUND(AVERAGE(L16:L$24)/100,4)</f>
        <v>1.21E-2</v>
      </c>
    </row>
    <row r="17" spans="1:34" ht="13.5" thickBot="1">
      <c r="A17" s="2656" t="s">
        <v>968</v>
      </c>
      <c r="B17" s="2662">
        <v>333</v>
      </c>
      <c r="C17" s="2662">
        <v>277</v>
      </c>
      <c r="D17" s="2662">
        <f t="shared" si="55"/>
        <v>277</v>
      </c>
      <c r="E17" s="2662">
        <v>459</v>
      </c>
      <c r="F17" s="2663">
        <v>249</v>
      </c>
      <c r="G17" s="3456">
        <v>2015</v>
      </c>
      <c r="H17" s="2676">
        <v>4</v>
      </c>
      <c r="I17" s="2676">
        <v>1.63</v>
      </c>
      <c r="J17" s="2676">
        <v>1.1100000000000001</v>
      </c>
      <c r="K17" s="2676">
        <v>1.77</v>
      </c>
      <c r="L17" s="2677">
        <v>1.89</v>
      </c>
      <c r="N17" s="2678">
        <f t="shared" si="57"/>
        <v>1.6299999999999999E-2</v>
      </c>
      <c r="O17" s="2679">
        <f t="shared" si="53"/>
        <v>1.11E-2</v>
      </c>
      <c r="P17" s="2679">
        <f t="shared" si="53"/>
        <v>1.77E-2</v>
      </c>
      <c r="Q17" s="2679">
        <f t="shared" si="53"/>
        <v>1.89E-2</v>
      </c>
      <c r="R17" s="2667"/>
      <c r="X17" s="2755">
        <f>ROUND(SUMPRODUCT(PRODUCT(1+N17:N$23)),4)</f>
        <v>1.0826</v>
      </c>
      <c r="Y17" s="2755">
        <f>ROUND(SUMPRODUCT(PRODUCT(1+O17:O$23)),4)</f>
        <v>1.0738000000000001</v>
      </c>
      <c r="Z17" s="2755">
        <f t="shared" si="0"/>
        <v>1.0738000000000001</v>
      </c>
      <c r="AA17" s="2755">
        <f>ROUND(SUMPRODUCT(PRODUCT(1+P17:P$23)),4)</f>
        <v>1.0855999999999999</v>
      </c>
      <c r="AB17" s="2755">
        <f>ROUND(SUMPRODUCT(PRODUCT(1+Q17:Q$23)),4)</f>
        <v>1.0837000000000001</v>
      </c>
      <c r="AD17" s="2675">
        <f>ROUND(AVERAGE(I17:I$24)/100,4)</f>
        <v>1.37E-2</v>
      </c>
      <c r="AE17" s="2675">
        <f>ROUND(AVERAGE(J17:J$24)/100,4)</f>
        <v>1.1900000000000001E-2</v>
      </c>
      <c r="AF17" s="2675">
        <f t="shared" si="1"/>
        <v>1.1900000000000001E-2</v>
      </c>
      <c r="AG17" s="2675">
        <f>ROUND(AVERAGE(K17:K$24)/100,4)</f>
        <v>1.4500000000000001E-2</v>
      </c>
      <c r="AH17" s="2675">
        <f>ROUND(AVERAGE(L17:L$24)/100,4)</f>
        <v>1.18E-2</v>
      </c>
    </row>
    <row r="18" spans="1:34">
      <c r="A18" s="2656" t="s">
        <v>967</v>
      </c>
      <c r="B18" s="2670">
        <f t="shared" ref="B18:C20" si="58">B17/(1+N17)</f>
        <v>327.65915576109415</v>
      </c>
      <c r="C18" s="2670">
        <f t="shared" si="58"/>
        <v>273.95905449510434</v>
      </c>
      <c r="D18" s="2670">
        <f t="shared" si="55"/>
        <v>273.95905449510434</v>
      </c>
      <c r="E18" s="2670">
        <f t="shared" ref="E18:F20" si="59">E17/(1+P17)</f>
        <v>451.01699911565294</v>
      </c>
      <c r="F18" s="2670">
        <f t="shared" si="59"/>
        <v>244.38119540681129</v>
      </c>
      <c r="G18" s="3457"/>
      <c r="H18" s="2681">
        <v>3</v>
      </c>
      <c r="I18" s="2681">
        <v>1.65</v>
      </c>
      <c r="J18" s="2681">
        <v>0.92</v>
      </c>
      <c r="K18" s="2681">
        <v>1.88</v>
      </c>
      <c r="L18" s="2682">
        <v>1.26</v>
      </c>
      <c r="N18" s="2665">
        <f t="shared" si="57"/>
        <v>1.6500000000000001E-2</v>
      </c>
      <c r="O18" s="2683">
        <f t="shared" si="53"/>
        <v>9.1999999999999998E-3</v>
      </c>
      <c r="P18" s="2683">
        <f t="shared" si="53"/>
        <v>1.8799999999999997E-2</v>
      </c>
      <c r="Q18" s="2683">
        <f t="shared" si="53"/>
        <v>1.26E-2</v>
      </c>
      <c r="R18" s="2667"/>
      <c r="S18" s="2665"/>
      <c r="T18" s="2666"/>
      <c r="U18" s="2666"/>
      <c r="V18" s="2666"/>
      <c r="X18" s="2755">
        <f>ROUND(SUMPRODUCT(PRODUCT(1+N18:N$23)),4)</f>
        <v>1.0651999999999999</v>
      </c>
      <c r="Y18" s="2755">
        <f>ROUND(SUMPRODUCT(PRODUCT(1+O18:O$23)),4)</f>
        <v>1.0621</v>
      </c>
      <c r="Z18" s="2755">
        <f t="shared" si="0"/>
        <v>1.0621</v>
      </c>
      <c r="AA18" s="2755">
        <f>ROUND(SUMPRODUCT(PRODUCT(1+P18:P$23)),4)</f>
        <v>1.0668</v>
      </c>
      <c r="AB18" s="2755">
        <f>ROUND(SUMPRODUCT(PRODUCT(1+Q18:Q$23)),4)</f>
        <v>1.0636000000000001</v>
      </c>
      <c r="AD18" s="2675">
        <f>ROUND(AVERAGE(I18:I$24)/100,4)</f>
        <v>1.3299999999999999E-2</v>
      </c>
      <c r="AE18" s="2675">
        <f>ROUND(AVERAGE(J18:J$24)/100,4)</f>
        <v>1.2E-2</v>
      </c>
      <c r="AF18" s="2675">
        <f t="shared" si="1"/>
        <v>1.2E-2</v>
      </c>
      <c r="AG18" s="2675">
        <f>ROUND(AVERAGE(K18:K$24)/100,4)</f>
        <v>1.4E-2</v>
      </c>
      <c r="AH18" s="2675">
        <f>ROUND(AVERAGE(L18:L$24)/100,4)</f>
        <v>1.0800000000000001E-2</v>
      </c>
    </row>
    <row r="19" spans="1:34">
      <c r="A19" s="2656" t="s">
        <v>966</v>
      </c>
      <c r="B19" s="2670">
        <f t="shared" si="58"/>
        <v>322.34053690220776</v>
      </c>
      <c r="C19" s="2670">
        <f t="shared" si="58"/>
        <v>271.46160770422546</v>
      </c>
      <c r="D19" s="2670">
        <f t="shared" si="55"/>
        <v>271.46160770422546</v>
      </c>
      <c r="E19" s="2670">
        <f t="shared" si="59"/>
        <v>442.69434542172456</v>
      </c>
      <c r="F19" s="2670">
        <f t="shared" si="59"/>
        <v>241.34030753190925</v>
      </c>
      <c r="G19" s="3457"/>
      <c r="H19" s="2661">
        <v>2</v>
      </c>
      <c r="I19" s="2661">
        <v>0.77</v>
      </c>
      <c r="J19" s="2661">
        <v>0.69</v>
      </c>
      <c r="K19" s="2661">
        <v>0.8</v>
      </c>
      <c r="L19" s="2672">
        <v>0.88</v>
      </c>
      <c r="N19" s="2665">
        <f t="shared" si="57"/>
        <v>7.7000000000000002E-3</v>
      </c>
      <c r="O19" s="2683">
        <f t="shared" si="53"/>
        <v>6.8999999999999999E-3</v>
      </c>
      <c r="P19" s="2683">
        <f t="shared" si="53"/>
        <v>8.0000000000000002E-3</v>
      </c>
      <c r="Q19" s="2683">
        <f t="shared" si="53"/>
        <v>8.8000000000000005E-3</v>
      </c>
      <c r="R19" s="2667"/>
      <c r="S19" s="2665"/>
      <c r="T19" s="2666"/>
      <c r="U19" s="2666"/>
      <c r="V19" s="2666"/>
      <c r="X19" s="2755">
        <f>ROUND(SUMPRODUCT(PRODUCT(1+N19:N$23)),4)</f>
        <v>1.048</v>
      </c>
      <c r="Y19" s="2755">
        <f>ROUND(SUMPRODUCT(PRODUCT(1+O19:O$23)),4)</f>
        <v>1.0524</v>
      </c>
      <c r="Z19" s="2755">
        <f t="shared" si="0"/>
        <v>1.0524</v>
      </c>
      <c r="AA19" s="2755">
        <f>ROUND(SUMPRODUCT(PRODUCT(1+P19:P$23)),4)</f>
        <v>1.0470999999999999</v>
      </c>
      <c r="AB19" s="2755">
        <f>ROUND(SUMPRODUCT(PRODUCT(1+Q19:Q$23)),4)</f>
        <v>1.0504</v>
      </c>
      <c r="AD19" s="2675">
        <f>ROUND(AVERAGE(I19:I$24)/100,4)</f>
        <v>1.2800000000000001E-2</v>
      </c>
      <c r="AE19" s="2675">
        <f>ROUND(AVERAGE(J19:J$24)/100,4)</f>
        <v>1.2500000000000001E-2</v>
      </c>
      <c r="AF19" s="2675">
        <f t="shared" si="1"/>
        <v>1.2500000000000001E-2</v>
      </c>
      <c r="AG19" s="2675">
        <f>ROUND(AVERAGE(K19:K$24)/100,4)</f>
        <v>1.32E-2</v>
      </c>
      <c r="AH19" s="2675">
        <f>ROUND(AVERAGE(L19:L$24)/100,4)</f>
        <v>1.0500000000000001E-2</v>
      </c>
    </row>
    <row r="20" spans="1:34">
      <c r="A20" s="2656" t="s">
        <v>965</v>
      </c>
      <c r="B20" s="2670">
        <f t="shared" si="58"/>
        <v>319.87748030386797</v>
      </c>
      <c r="C20" s="2670">
        <f t="shared" si="58"/>
        <v>269.60135833173649</v>
      </c>
      <c r="D20" s="2670">
        <f t="shared" si="55"/>
        <v>269.60135833173649</v>
      </c>
      <c r="E20" s="2670">
        <f t="shared" si="59"/>
        <v>439.18089823583784</v>
      </c>
      <c r="F20" s="2670">
        <f t="shared" si="59"/>
        <v>239.23503918706311</v>
      </c>
      <c r="G20" s="3458"/>
      <c r="H20" s="2660">
        <v>1</v>
      </c>
      <c r="I20" s="2660">
        <v>0.51</v>
      </c>
      <c r="J20" s="2660">
        <v>0.54</v>
      </c>
      <c r="K20" s="2660">
        <v>0.48</v>
      </c>
      <c r="L20" s="2671">
        <v>0.93</v>
      </c>
      <c r="N20" s="2673">
        <f t="shared" si="57"/>
        <v>5.1000000000000004E-3</v>
      </c>
      <c r="O20" s="2674">
        <f t="shared" si="53"/>
        <v>5.4000000000000003E-3</v>
      </c>
      <c r="P20" s="2674">
        <f t="shared" si="53"/>
        <v>4.7999999999999996E-3</v>
      </c>
      <c r="Q20" s="2674">
        <f t="shared" si="53"/>
        <v>9.300000000000001E-3</v>
      </c>
      <c r="R20" s="2667"/>
      <c r="S20" s="2673">
        <f>B20/B21-1</f>
        <v>5.9040261127922822E-3</v>
      </c>
      <c r="T20" s="2674">
        <f>C20/C21-1</f>
        <v>5.9752176557332781E-3</v>
      </c>
      <c r="U20" s="2674">
        <f>E20/E21-1</f>
        <v>4.9906138119859556E-3</v>
      </c>
      <c r="V20" s="2674">
        <f>F20/F21-1</f>
        <v>9.4305450930933787E-3</v>
      </c>
      <c r="X20" s="2755">
        <f>ROUND(SUMPRODUCT(PRODUCT(1+N20:N$23)),4)</f>
        <v>1.0399</v>
      </c>
      <c r="Y20" s="2755">
        <f>ROUND(SUMPRODUCT(PRODUCT(1+O20:O$23)),4)</f>
        <v>1.0451999999999999</v>
      </c>
      <c r="Z20" s="2755">
        <f t="shared" si="0"/>
        <v>1.0451999999999999</v>
      </c>
      <c r="AA20" s="2755">
        <f>ROUND(SUMPRODUCT(PRODUCT(1+P20:P$23)),4)</f>
        <v>1.0387999999999999</v>
      </c>
      <c r="AB20" s="2755">
        <f>ROUND(SUMPRODUCT(PRODUCT(1+Q20:Q$23)),4)</f>
        <v>1.0411999999999999</v>
      </c>
      <c r="AD20" s="2675">
        <f>ROUND(AVERAGE(I20:I$24)/100,4)</f>
        <v>1.38E-2</v>
      </c>
      <c r="AE20" s="2675">
        <f>ROUND(AVERAGE(J20:J$24)/100,4)</f>
        <v>1.3599999999999999E-2</v>
      </c>
      <c r="AF20" s="2675">
        <f t="shared" si="1"/>
        <v>1.3599999999999999E-2</v>
      </c>
      <c r="AG20" s="2675">
        <f>ROUND(AVERAGE(K20:K$24)/100,4)</f>
        <v>1.4200000000000001E-2</v>
      </c>
      <c r="AH20" s="2675">
        <f>ROUND(AVERAGE(L20:L$24)/100,4)</f>
        <v>1.0800000000000001E-2</v>
      </c>
    </row>
    <row r="21" spans="1:34" ht="13.5" thickBot="1">
      <c r="A21" s="2656" t="s">
        <v>964</v>
      </c>
      <c r="B21" s="2684">
        <v>318</v>
      </c>
      <c r="C21" s="2684">
        <v>268</v>
      </c>
      <c r="D21" s="2684">
        <f t="shared" si="55"/>
        <v>268</v>
      </c>
      <c r="E21" s="2684">
        <v>437</v>
      </c>
      <c r="F21" s="2685">
        <v>237</v>
      </c>
      <c r="G21" s="3456">
        <v>2014</v>
      </c>
      <c r="H21" s="2676">
        <v>4</v>
      </c>
      <c r="I21" s="2676">
        <v>0.21</v>
      </c>
      <c r="J21" s="2676">
        <v>0.41</v>
      </c>
      <c r="K21" s="2676">
        <v>0.12</v>
      </c>
      <c r="L21" s="2677">
        <v>0.89</v>
      </c>
      <c r="N21" s="2665">
        <f t="shared" si="57"/>
        <v>2.0999999999999999E-3</v>
      </c>
      <c r="O21" s="2666">
        <f t="shared" si="53"/>
        <v>4.0999999999999995E-3</v>
      </c>
      <c r="P21" s="2666">
        <f t="shared" si="53"/>
        <v>1.1999999999999999E-3</v>
      </c>
      <c r="Q21" s="2666">
        <f t="shared" si="53"/>
        <v>8.8999999999999999E-3</v>
      </c>
      <c r="R21" s="2667"/>
      <c r="S21" s="2668"/>
      <c r="T21" s="2669"/>
      <c r="U21" s="2669"/>
      <c r="V21" s="2669"/>
      <c r="X21" s="2755">
        <f>ROUND(SUMPRODUCT(PRODUCT(1+N21:N$23)),4)</f>
        <v>1.0347</v>
      </c>
      <c r="Y21" s="2755">
        <f>ROUND(SUMPRODUCT(PRODUCT(1+O21:O$23)),4)</f>
        <v>1.0395000000000001</v>
      </c>
      <c r="Z21" s="2755">
        <f t="shared" si="0"/>
        <v>1.0395000000000001</v>
      </c>
      <c r="AA21" s="2755">
        <f>ROUND(SUMPRODUCT(PRODUCT(1+P21:P$23)),4)</f>
        <v>1.0338000000000001</v>
      </c>
      <c r="AB21" s="2755">
        <f>ROUND(SUMPRODUCT(PRODUCT(1+Q21:Q$23)),4)</f>
        <v>1.0316000000000001</v>
      </c>
      <c r="AD21" s="2675">
        <f>ROUND(AVERAGE(I21:I$24)/100,4)</f>
        <v>1.6E-2</v>
      </c>
      <c r="AE21" s="2675">
        <f>ROUND(AVERAGE(J21:J$24)/100,4)</f>
        <v>1.5599999999999999E-2</v>
      </c>
      <c r="AF21" s="2675">
        <f t="shared" si="1"/>
        <v>1.5599999999999999E-2</v>
      </c>
      <c r="AG21" s="2675">
        <f>ROUND(AVERAGE(K21:K$24)/100,4)</f>
        <v>1.66E-2</v>
      </c>
      <c r="AH21" s="2675">
        <f>ROUND(AVERAGE(L21:L$24)/100,4)</f>
        <v>1.12E-2</v>
      </c>
    </row>
    <row r="22" spans="1:34">
      <c r="A22" s="2656" t="s">
        <v>963</v>
      </c>
      <c r="B22" s="2670">
        <f t="shared" ref="B22:C24" si="60">B21/(1+N21)</f>
        <v>317.33359944117353</v>
      </c>
      <c r="C22" s="2670">
        <f t="shared" si="60"/>
        <v>266.90568668459315</v>
      </c>
      <c r="D22" s="2670">
        <f t="shared" si="55"/>
        <v>266.90568668459315</v>
      </c>
      <c r="E22" s="2670">
        <f t="shared" ref="E22:F24" si="61">E21/(1+P21)</f>
        <v>436.47622852576905</v>
      </c>
      <c r="F22" s="2670">
        <f t="shared" si="61"/>
        <v>234.90930716622066</v>
      </c>
      <c r="G22" s="3457"/>
      <c r="H22" s="2686">
        <v>3</v>
      </c>
      <c r="I22" s="2686">
        <v>0.83</v>
      </c>
      <c r="J22" s="2686">
        <v>1.47</v>
      </c>
      <c r="K22" s="2686">
        <v>0.65</v>
      </c>
      <c r="L22" s="2687">
        <v>0.72</v>
      </c>
      <c r="N22" s="2665">
        <f t="shared" si="57"/>
        <v>8.3000000000000001E-3</v>
      </c>
      <c r="O22" s="2666">
        <f t="shared" si="53"/>
        <v>1.47E-2</v>
      </c>
      <c r="P22" s="2666">
        <f t="shared" si="53"/>
        <v>6.5000000000000006E-3</v>
      </c>
      <c r="Q22" s="2666">
        <f t="shared" si="53"/>
        <v>7.1999999999999998E-3</v>
      </c>
      <c r="R22" s="2667"/>
      <c r="S22" s="2665"/>
      <c r="T22" s="2666"/>
      <c r="U22" s="2666"/>
      <c r="V22" s="2666"/>
      <c r="X22" s="2755">
        <f>ROUND(SUMPRODUCT(PRODUCT(1+N22:N$23)),4)</f>
        <v>1.0325</v>
      </c>
      <c r="Y22" s="2755">
        <f>ROUND(SUMPRODUCT(PRODUCT(1+O22:O$23)),4)</f>
        <v>1.0353000000000001</v>
      </c>
      <c r="Z22" s="2755">
        <f t="shared" ref="Z22:Z23" si="62">Y22</f>
        <v>1.0353000000000001</v>
      </c>
      <c r="AA22" s="2755">
        <f>ROUND(SUMPRODUCT(PRODUCT(1+P22:P$23)),4)</f>
        <v>1.0326</v>
      </c>
      <c r="AB22" s="2755">
        <f>ROUND(SUMPRODUCT(PRODUCT(1+Q22:Q$23)),4)</f>
        <v>1.0225</v>
      </c>
      <c r="AD22" s="2675">
        <f>ROUND(AVERAGE(I22:I$24)/100,4)</f>
        <v>2.07E-2</v>
      </c>
      <c r="AE22" s="2675">
        <f>ROUND(AVERAGE(J22:J$24)/100,4)</f>
        <v>1.95E-2</v>
      </c>
      <c r="AF22" s="2675">
        <f t="shared" si="1"/>
        <v>1.95E-2</v>
      </c>
      <c r="AG22" s="2675">
        <f>ROUND(AVERAGE(K22:K$24)/100,4)</f>
        <v>2.1700000000000001E-2</v>
      </c>
      <c r="AH22" s="2675">
        <f>ROUND(AVERAGE(L22:L$24)/100,4)</f>
        <v>1.2E-2</v>
      </c>
    </row>
    <row r="23" spans="1:34" ht="13.5" thickBot="1">
      <c r="A23" s="2656" t="s">
        <v>962</v>
      </c>
      <c r="B23" s="2670">
        <f t="shared" si="60"/>
        <v>314.72141172386546</v>
      </c>
      <c r="C23" s="2670">
        <f t="shared" si="60"/>
        <v>263.03901319069001</v>
      </c>
      <c r="D23" s="2670">
        <f t="shared" si="55"/>
        <v>263.03901319069001</v>
      </c>
      <c r="E23" s="2670">
        <f t="shared" si="61"/>
        <v>433.65745506782821</v>
      </c>
      <c r="F23" s="2670">
        <f t="shared" si="61"/>
        <v>233.23005080045735</v>
      </c>
      <c r="G23" s="3457"/>
      <c r="H23" s="2676">
        <v>2</v>
      </c>
      <c r="I23" s="2676">
        <v>2.4</v>
      </c>
      <c r="J23" s="2676">
        <v>2.0299999999999998</v>
      </c>
      <c r="K23" s="2676">
        <v>2.59</v>
      </c>
      <c r="L23" s="2677">
        <v>1.52</v>
      </c>
      <c r="N23" s="2665">
        <f t="shared" si="57"/>
        <v>2.4E-2</v>
      </c>
      <c r="O23" s="2666">
        <f t="shared" si="53"/>
        <v>2.0299999999999999E-2</v>
      </c>
      <c r="P23" s="2666">
        <f t="shared" si="53"/>
        <v>2.5899999999999999E-2</v>
      </c>
      <c r="Q23" s="2666">
        <f t="shared" si="53"/>
        <v>1.52E-2</v>
      </c>
      <c r="R23" s="2667"/>
      <c r="S23" s="2665"/>
      <c r="T23" s="2666"/>
      <c r="U23" s="2666"/>
      <c r="V23" s="2666"/>
      <c r="X23" s="2755">
        <f>1+N23</f>
        <v>1.024</v>
      </c>
      <c r="Y23" s="2755">
        <f>1+O23</f>
        <v>1.0203</v>
      </c>
      <c r="Z23" s="2755">
        <f t="shared" si="62"/>
        <v>1.0203</v>
      </c>
      <c r="AA23" s="2755">
        <f>1+P23</f>
        <v>1.0259</v>
      </c>
      <c r="AB23" s="2755">
        <f>1+Q23</f>
        <v>1.0152000000000001</v>
      </c>
      <c r="AD23" s="2675">
        <f>ROUND(AVERAGE(I23:I$24)/100,4)</f>
        <v>2.69E-2</v>
      </c>
      <c r="AE23" s="2675">
        <f>ROUND(AVERAGE(J23:J$24)/100,4)</f>
        <v>2.1899999999999999E-2</v>
      </c>
      <c r="AF23" s="2675">
        <f t="shared" ref="AF23" si="63">AE23</f>
        <v>2.1899999999999999E-2</v>
      </c>
      <c r="AG23" s="2675">
        <f>ROUND(AVERAGE(K23:K$24)/100,4)</f>
        <v>2.9399999999999999E-2</v>
      </c>
      <c r="AH23" s="2675">
        <f>ROUND(AVERAGE(L23:L$24)/100,4)</f>
        <v>1.44E-2</v>
      </c>
    </row>
    <row r="24" spans="1:34" s="2692" customFormat="1" ht="13.5" thickBot="1">
      <c r="A24" s="2688" t="s">
        <v>961</v>
      </c>
      <c r="B24" s="2689">
        <f t="shared" si="60"/>
        <v>307.34512863658733</v>
      </c>
      <c r="C24" s="2689">
        <f t="shared" si="60"/>
        <v>257.80556031626975</v>
      </c>
      <c r="D24" s="2689">
        <f t="shared" si="55"/>
        <v>257.80556031626975</v>
      </c>
      <c r="E24" s="2689">
        <f t="shared" si="61"/>
        <v>422.70928459677179</v>
      </c>
      <c r="F24" s="2689">
        <f t="shared" si="61"/>
        <v>229.73803270336617</v>
      </c>
      <c r="G24" s="3458"/>
      <c r="H24" s="2690">
        <v>1</v>
      </c>
      <c r="I24" s="2690">
        <v>2.97</v>
      </c>
      <c r="J24" s="2690">
        <v>2.34</v>
      </c>
      <c r="K24" s="2690">
        <v>3.28</v>
      </c>
      <c r="L24" s="2691">
        <v>1.36</v>
      </c>
      <c r="N24" s="2693">
        <f t="shared" si="57"/>
        <v>2.9700000000000001E-2</v>
      </c>
      <c r="O24" s="2694">
        <f t="shared" si="53"/>
        <v>2.3399999999999997E-2</v>
      </c>
      <c r="P24" s="2694">
        <f t="shared" si="53"/>
        <v>3.2799999999999996E-2</v>
      </c>
      <c r="Q24" s="2694">
        <f t="shared" si="53"/>
        <v>1.3600000000000001E-2</v>
      </c>
      <c r="R24" s="2695"/>
      <c r="S24" s="2696">
        <f>B24/B25-1</f>
        <v>2.7910129219355539E-2</v>
      </c>
      <c r="T24" s="2697">
        <f>C24/C25-1</f>
        <v>2.3037937762975247E-2</v>
      </c>
      <c r="U24" s="2697">
        <f>E24/E25-1</f>
        <v>3.3519033243940788E-2</v>
      </c>
      <c r="V24" s="2697">
        <f>F24/F25-1</f>
        <v>1.2061818076502862E-2</v>
      </c>
      <c r="W24" s="2764" t="s">
        <v>2640</v>
      </c>
      <c r="X24" s="2766">
        <v>1</v>
      </c>
      <c r="Y24" s="2766">
        <v>1</v>
      </c>
      <c r="Z24" s="2766">
        <v>1</v>
      </c>
      <c r="AA24" s="2766">
        <v>1</v>
      </c>
      <c r="AB24" s="2766">
        <v>1</v>
      </c>
      <c r="AD24" s="3010">
        <f>I24/100</f>
        <v>2.9700000000000001E-2</v>
      </c>
      <c r="AE24" s="3010">
        <f>J24/100</f>
        <v>2.3399999999999997E-2</v>
      </c>
      <c r="AF24" s="3010">
        <f>AE24</f>
        <v>2.3399999999999997E-2</v>
      </c>
      <c r="AG24" s="3010">
        <f>K24/100</f>
        <v>3.2799999999999996E-2</v>
      </c>
      <c r="AH24" s="3010">
        <f>L24/100</f>
        <v>1.3600000000000001E-2</v>
      </c>
    </row>
    <row r="25" spans="1:34" ht="13.5" thickBot="1">
      <c r="A25" s="2656" t="s">
        <v>2583</v>
      </c>
      <c r="B25" s="2662">
        <v>299</v>
      </c>
      <c r="C25" s="2662">
        <v>252</v>
      </c>
      <c r="D25" s="2662">
        <f t="shared" si="55"/>
        <v>252</v>
      </c>
      <c r="E25" s="2662">
        <v>409</v>
      </c>
      <c r="F25" s="2663">
        <v>227</v>
      </c>
      <c r="G25" s="3463">
        <v>2013</v>
      </c>
      <c r="H25" s="2698">
        <v>4</v>
      </c>
      <c r="I25" s="2698">
        <v>1.83</v>
      </c>
      <c r="J25" s="2698">
        <v>1.68</v>
      </c>
      <c r="K25" s="2698">
        <v>1.97</v>
      </c>
      <c r="L25" s="2699">
        <v>0.87</v>
      </c>
      <c r="N25" s="2678">
        <f t="shared" si="57"/>
        <v>1.83E-2</v>
      </c>
      <c r="O25" s="2679">
        <f t="shared" si="53"/>
        <v>1.6799999999999999E-2</v>
      </c>
      <c r="P25" s="2679">
        <f t="shared" si="53"/>
        <v>1.9699999999999999E-2</v>
      </c>
      <c r="Q25" s="2679">
        <f t="shared" si="53"/>
        <v>8.6999999999999994E-3</v>
      </c>
      <c r="R25" s="2667"/>
      <c r="S25" s="2668"/>
      <c r="T25" s="2669"/>
      <c r="U25" s="2669"/>
      <c r="V25" s="2669"/>
      <c r="X25" s="2669"/>
      <c r="Y25" s="2669"/>
      <c r="Z25" s="2669"/>
    </row>
    <row r="26" spans="1:34">
      <c r="A26" s="2656" t="s">
        <v>2584</v>
      </c>
      <c r="B26" s="2670">
        <f t="shared" ref="B26:C28" si="64">B25/(1+N25)</f>
        <v>293.62663262299913</v>
      </c>
      <c r="C26" s="2670">
        <f t="shared" si="64"/>
        <v>247.83634933123525</v>
      </c>
      <c r="D26" s="2670">
        <f t="shared" si="55"/>
        <v>247.83634933123525</v>
      </c>
      <c r="E26" s="2670">
        <f t="shared" ref="E26:F28" si="65">E25/(1+P25)</f>
        <v>401.09836226341076</v>
      </c>
      <c r="F26" s="2670">
        <f t="shared" si="65"/>
        <v>225.04213343908003</v>
      </c>
      <c r="G26" s="3464"/>
      <c r="H26" s="2681">
        <v>3</v>
      </c>
      <c r="I26" s="2681">
        <v>1.86</v>
      </c>
      <c r="J26" s="2681">
        <v>1.72</v>
      </c>
      <c r="K26" s="2681">
        <v>1.98</v>
      </c>
      <c r="L26" s="2682">
        <v>0.88</v>
      </c>
      <c r="N26" s="2665">
        <f t="shared" si="57"/>
        <v>1.8600000000000002E-2</v>
      </c>
      <c r="O26" s="2683">
        <f t="shared" si="53"/>
        <v>1.72E-2</v>
      </c>
      <c r="P26" s="2683">
        <f t="shared" si="53"/>
        <v>1.9799999999999998E-2</v>
      </c>
      <c r="Q26" s="2683">
        <f t="shared" si="53"/>
        <v>8.8000000000000005E-3</v>
      </c>
      <c r="R26" s="2667"/>
      <c r="S26" s="2665"/>
      <c r="T26" s="2666"/>
      <c r="U26" s="2666"/>
      <c r="V26" s="2666"/>
    </row>
    <row r="27" spans="1:34">
      <c r="A27" s="2656" t="s">
        <v>2585</v>
      </c>
      <c r="B27" s="2670">
        <f t="shared" si="64"/>
        <v>288.2649053828776</v>
      </c>
      <c r="C27" s="2670">
        <f t="shared" si="64"/>
        <v>243.64564425013293</v>
      </c>
      <c r="D27" s="2670">
        <f t="shared" si="55"/>
        <v>243.64564425013293</v>
      </c>
      <c r="E27" s="2670">
        <f t="shared" si="65"/>
        <v>393.31080825986544</v>
      </c>
      <c r="F27" s="2670">
        <f t="shared" si="65"/>
        <v>223.07903790551154</v>
      </c>
      <c r="G27" s="3464"/>
      <c r="H27" s="2661">
        <v>2</v>
      </c>
      <c r="I27" s="2661">
        <v>2.04</v>
      </c>
      <c r="J27" s="2661">
        <v>2.33</v>
      </c>
      <c r="K27" s="2661">
        <v>2.0699999999999998</v>
      </c>
      <c r="L27" s="2672">
        <v>0.69</v>
      </c>
      <c r="N27" s="2665">
        <f t="shared" si="57"/>
        <v>2.0400000000000001E-2</v>
      </c>
      <c r="O27" s="2683">
        <f t="shared" si="53"/>
        <v>2.3300000000000001E-2</v>
      </c>
      <c r="P27" s="2683">
        <f t="shared" si="53"/>
        <v>2.07E-2</v>
      </c>
      <c r="Q27" s="2683">
        <f t="shared" si="53"/>
        <v>6.8999999999999999E-3</v>
      </c>
      <c r="R27" s="2667"/>
      <c r="S27" s="2665"/>
      <c r="T27" s="2666"/>
      <c r="U27" s="2666"/>
      <c r="V27" s="2666"/>
      <c r="X27" s="2767"/>
      <c r="Y27" s="2769"/>
    </row>
    <row r="28" spans="1:34">
      <c r="A28" s="2656" t="s">
        <v>2586</v>
      </c>
      <c r="B28" s="2670">
        <f t="shared" si="64"/>
        <v>282.50186729015837</v>
      </c>
      <c r="C28" s="2670">
        <f t="shared" si="64"/>
        <v>238.09796174155468</v>
      </c>
      <c r="D28" s="2670">
        <f t="shared" si="55"/>
        <v>238.09796174155468</v>
      </c>
      <c r="E28" s="2670">
        <f t="shared" si="65"/>
        <v>385.33438646014054</v>
      </c>
      <c r="F28" s="2670">
        <f t="shared" si="65"/>
        <v>221.55034055567739</v>
      </c>
      <c r="G28" s="3465"/>
      <c r="H28" s="2660">
        <v>1</v>
      </c>
      <c r="I28" s="2660">
        <v>1.67</v>
      </c>
      <c r="J28" s="2660">
        <v>1.31</v>
      </c>
      <c r="K28" s="2660">
        <v>1.85</v>
      </c>
      <c r="L28" s="2671">
        <v>0.96</v>
      </c>
      <c r="N28" s="2673">
        <f t="shared" si="57"/>
        <v>1.67E-2</v>
      </c>
      <c r="O28" s="2674">
        <f t="shared" si="53"/>
        <v>1.3100000000000001E-2</v>
      </c>
      <c r="P28" s="2674">
        <f t="shared" si="53"/>
        <v>1.8500000000000003E-2</v>
      </c>
      <c r="Q28" s="2674">
        <f t="shared" si="53"/>
        <v>9.5999999999999992E-3</v>
      </c>
      <c r="R28" s="2667"/>
      <c r="S28" s="2673">
        <f>B28/B29-1</f>
        <v>1.6193767230785472E-2</v>
      </c>
      <c r="T28" s="2674">
        <f>C28/C29-1</f>
        <v>1.7512657015190891E-2</v>
      </c>
      <c r="U28" s="2674">
        <f>E28/E29-1</f>
        <v>1.6713420739157048E-2</v>
      </c>
      <c r="V28" s="2674">
        <f>F28/F29-1</f>
        <v>7.0470025258062563E-3</v>
      </c>
      <c r="X28" s="2768"/>
      <c r="Y28" s="2675"/>
      <c r="Z28" s="2675"/>
    </row>
    <row r="29" spans="1:34" ht="13.5" thickBot="1">
      <c r="A29" s="2656" t="s">
        <v>2587</v>
      </c>
      <c r="B29" s="2700">
        <v>278</v>
      </c>
      <c r="C29" s="2700">
        <v>234</v>
      </c>
      <c r="D29" s="2700">
        <f t="shared" si="55"/>
        <v>234</v>
      </c>
      <c r="E29" s="2700">
        <v>379</v>
      </c>
      <c r="F29" s="2701">
        <v>220</v>
      </c>
      <c r="G29" s="3456">
        <v>2012</v>
      </c>
      <c r="H29" s="2676">
        <v>4</v>
      </c>
      <c r="I29" s="2676">
        <v>0.91</v>
      </c>
      <c r="J29" s="2676">
        <v>0.68</v>
      </c>
      <c r="K29" s="2676">
        <v>0.98</v>
      </c>
      <c r="L29" s="2677">
        <v>0.9</v>
      </c>
      <c r="N29" s="2665">
        <f t="shared" si="57"/>
        <v>9.1000000000000004E-3</v>
      </c>
      <c r="O29" s="2666">
        <f t="shared" si="57"/>
        <v>6.8000000000000005E-3</v>
      </c>
      <c r="P29" s="2666">
        <f t="shared" si="57"/>
        <v>9.7999999999999997E-3</v>
      </c>
      <c r="Q29" s="2666">
        <f t="shared" si="57"/>
        <v>9.0000000000000011E-3</v>
      </c>
      <c r="R29" s="2667"/>
      <c r="S29" s="2668"/>
      <c r="T29" s="2669"/>
      <c r="U29" s="2669"/>
      <c r="V29" s="2669"/>
      <c r="X29" s="2669"/>
      <c r="Y29" s="2669"/>
      <c r="Z29" s="2669"/>
    </row>
    <row r="30" spans="1:34">
      <c r="A30" s="2656" t="s">
        <v>2588</v>
      </c>
      <c r="B30" s="2670">
        <f>B29/(1+N29)</f>
        <v>275.49301357645425</v>
      </c>
      <c r="C30" s="2670">
        <f>C29/(1+O29)</f>
        <v>232.41954707985698</v>
      </c>
      <c r="D30" s="2670">
        <f t="shared" si="55"/>
        <v>232.41954707985698</v>
      </c>
      <c r="E30" s="2670">
        <f t="shared" ref="E30:F32" si="66">E29/(1+P29)</f>
        <v>375.32184591008121</v>
      </c>
      <c r="F30" s="2670">
        <f t="shared" si="66"/>
        <v>218.03766105054513</v>
      </c>
      <c r="G30" s="3457"/>
      <c r="H30" s="2681">
        <v>3</v>
      </c>
      <c r="I30" s="2681">
        <v>0.09</v>
      </c>
      <c r="J30" s="2681">
        <v>0.28999999999999998</v>
      </c>
      <c r="K30" s="2681">
        <v>-0.01</v>
      </c>
      <c r="L30" s="2682">
        <v>0.57999999999999996</v>
      </c>
      <c r="N30" s="2665">
        <f t="shared" si="57"/>
        <v>8.9999999999999998E-4</v>
      </c>
      <c r="O30" s="2666">
        <f t="shared" si="57"/>
        <v>2.8999999999999998E-3</v>
      </c>
      <c r="P30" s="2666">
        <f t="shared" si="57"/>
        <v>-1E-4</v>
      </c>
      <c r="Q30" s="2666">
        <f t="shared" si="57"/>
        <v>5.7999999999999996E-3</v>
      </c>
      <c r="R30" s="2667"/>
      <c r="S30" s="2665"/>
      <c r="T30" s="2666"/>
      <c r="U30" s="2666"/>
      <c r="V30" s="2666"/>
    </row>
    <row r="31" spans="1:34">
      <c r="A31" s="2656" t="s">
        <v>2589</v>
      </c>
      <c r="B31" s="2670">
        <f>B30/(1+N30)</f>
        <v>275.24529281292263</v>
      </c>
      <c r="C31" s="2670">
        <f>C30/(1+O30)</f>
        <v>231.74747938962707</v>
      </c>
      <c r="D31" s="2670">
        <f t="shared" si="55"/>
        <v>231.74747938962707</v>
      </c>
      <c r="E31" s="2670">
        <f t="shared" si="66"/>
        <v>375.35938184826603</v>
      </c>
      <c r="F31" s="2670">
        <f t="shared" si="66"/>
        <v>216.78033510692495</v>
      </c>
      <c r="G31" s="3457"/>
      <c r="H31" s="2661">
        <v>2</v>
      </c>
      <c r="I31" s="2661">
        <v>0.02</v>
      </c>
      <c r="J31" s="2661">
        <v>0.12</v>
      </c>
      <c r="K31" s="2661">
        <v>-0.08</v>
      </c>
      <c r="L31" s="2672">
        <v>1.24</v>
      </c>
      <c r="N31" s="2665">
        <f t="shared" si="57"/>
        <v>2.0000000000000001E-4</v>
      </c>
      <c r="O31" s="2666">
        <f t="shared" si="57"/>
        <v>1.1999999999999999E-3</v>
      </c>
      <c r="P31" s="2666">
        <f t="shared" si="57"/>
        <v>-8.0000000000000004E-4</v>
      </c>
      <c r="Q31" s="2666">
        <f t="shared" si="57"/>
        <v>1.24E-2</v>
      </c>
      <c r="R31" s="2667"/>
      <c r="S31" s="2665"/>
      <c r="T31" s="2666"/>
      <c r="U31" s="2666"/>
      <c r="V31" s="2666"/>
    </row>
    <row r="32" spans="1:34" ht="13.5" thickBot="1">
      <c r="A32" s="2656" t="s">
        <v>2590</v>
      </c>
      <c r="B32" s="2670">
        <f>B31/(1+N31)</f>
        <v>275.19025476197027</v>
      </c>
      <c r="C32" s="2702">
        <v>232</v>
      </c>
      <c r="D32" s="2702">
        <f t="shared" si="55"/>
        <v>232</v>
      </c>
      <c r="E32" s="2670">
        <f t="shared" si="66"/>
        <v>375.65990977608692</v>
      </c>
      <c r="F32" s="2670">
        <f t="shared" si="66"/>
        <v>214.12518283971252</v>
      </c>
      <c r="G32" s="3458"/>
      <c r="H32" s="2660">
        <v>1</v>
      </c>
      <c r="I32" s="2660">
        <v>0.02</v>
      </c>
      <c r="J32" s="2660">
        <v>0.13</v>
      </c>
      <c r="K32" s="2660">
        <v>-0.04</v>
      </c>
      <c r="L32" s="2671">
        <v>0.46</v>
      </c>
      <c r="N32" s="2665">
        <f t="shared" si="57"/>
        <v>2.0000000000000001E-4</v>
      </c>
      <c r="O32" s="2666">
        <f t="shared" si="57"/>
        <v>1.2999999999999999E-3</v>
      </c>
      <c r="P32" s="2666">
        <f t="shared" si="57"/>
        <v>-4.0000000000000002E-4</v>
      </c>
      <c r="Q32" s="2666">
        <f t="shared" si="57"/>
        <v>4.5999999999999999E-3</v>
      </c>
      <c r="R32" s="2667"/>
      <c r="S32" s="2673">
        <f>B32/B33-1</f>
        <v>6.9183549807361189E-4</v>
      </c>
      <c r="T32" s="2674">
        <f>C32/C33-1</f>
        <v>0</v>
      </c>
      <c r="U32" s="2674">
        <f>E32/E33-1</f>
        <v>-9.0449527636460303E-4</v>
      </c>
      <c r="V32" s="2674">
        <f>F32/F33-1</f>
        <v>5.2825485432512753E-3</v>
      </c>
      <c r="X32" s="2675"/>
      <c r="Y32" s="2675"/>
      <c r="Z32" s="2675"/>
    </row>
    <row r="33" spans="1:26" ht="13.5" thickBot="1">
      <c r="A33" s="2656" t="s">
        <v>2591</v>
      </c>
      <c r="B33" s="2662">
        <v>275</v>
      </c>
      <c r="C33" s="2662">
        <v>232</v>
      </c>
      <c r="D33" s="2662">
        <f t="shared" si="55"/>
        <v>232</v>
      </c>
      <c r="E33" s="2662">
        <v>376</v>
      </c>
      <c r="F33" s="2663">
        <v>213</v>
      </c>
      <c r="G33" s="3456">
        <v>2011</v>
      </c>
      <c r="H33" s="2676">
        <v>4</v>
      </c>
      <c r="I33" s="2676">
        <v>-0.2</v>
      </c>
      <c r="J33" s="2676">
        <v>0.04</v>
      </c>
      <c r="K33" s="2676">
        <v>-0.34</v>
      </c>
      <c r="L33" s="2677">
        <v>0.46</v>
      </c>
      <c r="N33" s="2678">
        <f t="shared" si="57"/>
        <v>-2E-3</v>
      </c>
      <c r="O33" s="2679">
        <f t="shared" si="57"/>
        <v>4.0000000000000002E-4</v>
      </c>
      <c r="P33" s="2679">
        <f t="shared" si="57"/>
        <v>-3.4000000000000002E-3</v>
      </c>
      <c r="Q33" s="2679">
        <f t="shared" si="57"/>
        <v>4.5999999999999999E-3</v>
      </c>
      <c r="R33" s="2667"/>
      <c r="S33" s="2668"/>
      <c r="T33" s="2669"/>
      <c r="U33" s="2669"/>
      <c r="V33" s="2669"/>
      <c r="X33" s="2669"/>
      <c r="Y33" s="2669"/>
      <c r="Z33" s="2669"/>
    </row>
    <row r="34" spans="1:26">
      <c r="A34" s="2656" t="s">
        <v>2592</v>
      </c>
      <c r="B34" s="2670">
        <f t="shared" ref="B34:C36" si="67">B33/(1+N33)</f>
        <v>275.55110220440883</v>
      </c>
      <c r="C34" s="2670">
        <f t="shared" si="67"/>
        <v>231.90723710515795</v>
      </c>
      <c r="D34" s="2670">
        <f t="shared" si="55"/>
        <v>231.90723710515795</v>
      </c>
      <c r="E34" s="2670">
        <f t="shared" ref="E34:F36" si="68">E33/(1+P33)</f>
        <v>377.28276138872161</v>
      </c>
      <c r="F34" s="2670">
        <f t="shared" si="68"/>
        <v>212.02468644236512</v>
      </c>
      <c r="G34" s="3457">
        <v>2011</v>
      </c>
      <c r="H34" s="2681">
        <v>3</v>
      </c>
      <c r="I34" s="2681">
        <v>0.13</v>
      </c>
      <c r="J34" s="2681">
        <v>0.75</v>
      </c>
      <c r="K34" s="2681">
        <v>-0.08</v>
      </c>
      <c r="L34" s="2682">
        <v>0.53</v>
      </c>
      <c r="N34" s="2665">
        <f t="shared" si="57"/>
        <v>1.2999999999999999E-3</v>
      </c>
      <c r="O34" s="2683">
        <f t="shared" si="57"/>
        <v>7.4999999999999997E-3</v>
      </c>
      <c r="P34" s="2683">
        <f t="shared" si="57"/>
        <v>-8.0000000000000004E-4</v>
      </c>
      <c r="Q34" s="2683">
        <f t="shared" si="57"/>
        <v>5.3E-3</v>
      </c>
      <c r="R34" s="2667"/>
      <c r="S34" s="2665"/>
      <c r="T34" s="2666"/>
      <c r="U34" s="2666"/>
      <c r="V34" s="2666"/>
    </row>
    <row r="35" spans="1:26">
      <c r="A35" s="2656" t="s">
        <v>2593</v>
      </c>
      <c r="B35" s="2670">
        <f t="shared" si="67"/>
        <v>275.19335084830601</v>
      </c>
      <c r="C35" s="2670">
        <f t="shared" si="67"/>
        <v>230.18088050139744</v>
      </c>
      <c r="D35" s="2670">
        <f t="shared" si="55"/>
        <v>230.18088050139744</v>
      </c>
      <c r="E35" s="2670">
        <f t="shared" si="68"/>
        <v>377.58482925212331</v>
      </c>
      <c r="F35" s="2670">
        <f t="shared" si="68"/>
        <v>210.90687997847917</v>
      </c>
      <c r="G35" s="3457">
        <v>2011</v>
      </c>
      <c r="H35" s="2661">
        <v>2</v>
      </c>
      <c r="I35" s="2661">
        <v>-0.4</v>
      </c>
      <c r="J35" s="2661">
        <v>0.17</v>
      </c>
      <c r="K35" s="2661">
        <v>-0.57999999999999996</v>
      </c>
      <c r="L35" s="2672">
        <v>-0.2</v>
      </c>
      <c r="N35" s="2665">
        <f t="shared" si="57"/>
        <v>-4.0000000000000001E-3</v>
      </c>
      <c r="O35" s="2683">
        <f t="shared" si="57"/>
        <v>1.7000000000000001E-3</v>
      </c>
      <c r="P35" s="2683">
        <f t="shared" si="57"/>
        <v>-5.7999999999999996E-3</v>
      </c>
      <c r="Q35" s="2683">
        <f t="shared" si="57"/>
        <v>-2E-3</v>
      </c>
      <c r="R35" s="2667"/>
      <c r="S35" s="2665"/>
      <c r="T35" s="2666"/>
      <c r="U35" s="2666"/>
      <c r="V35" s="2666"/>
    </row>
    <row r="36" spans="1:26" ht="13.5" thickBot="1">
      <c r="A36" s="2656" t="s">
        <v>2594</v>
      </c>
      <c r="B36" s="2670">
        <f t="shared" si="67"/>
        <v>276.29854502841971</v>
      </c>
      <c r="C36" s="2670">
        <f t="shared" si="67"/>
        <v>229.79023709833027</v>
      </c>
      <c r="D36" s="2670">
        <f t="shared" si="55"/>
        <v>229.79023709833027</v>
      </c>
      <c r="E36" s="2670">
        <f t="shared" si="68"/>
        <v>379.78759731655936</v>
      </c>
      <c r="F36" s="2670">
        <f t="shared" si="68"/>
        <v>211.32953905659235</v>
      </c>
      <c r="G36" s="3458">
        <v>2011</v>
      </c>
      <c r="H36" s="2660">
        <v>1</v>
      </c>
      <c r="I36" s="2660">
        <v>2.65</v>
      </c>
      <c r="J36" s="2660">
        <v>3.76</v>
      </c>
      <c r="K36" s="2660">
        <v>1.89</v>
      </c>
      <c r="L36" s="2671">
        <v>7.95</v>
      </c>
      <c r="N36" s="2673">
        <f t="shared" si="57"/>
        <v>2.6499999999999999E-2</v>
      </c>
      <c r="O36" s="2674">
        <f t="shared" si="57"/>
        <v>3.7599999999999995E-2</v>
      </c>
      <c r="P36" s="2674">
        <f t="shared" si="57"/>
        <v>1.89E-2</v>
      </c>
      <c r="Q36" s="2674">
        <f t="shared" si="57"/>
        <v>7.9500000000000001E-2</v>
      </c>
      <c r="R36" s="2667"/>
      <c r="S36" s="2673">
        <f>B36/B37-1</f>
        <v>2.713213765211786E-2</v>
      </c>
      <c r="T36" s="2674">
        <f>C36/C37-1</f>
        <v>3.9774828499231862E-2</v>
      </c>
      <c r="U36" s="2674">
        <f>E36/E37-1</f>
        <v>1.8197311840641772E-2</v>
      </c>
      <c r="V36" s="2674">
        <f>F36/F37-1</f>
        <v>7.8211933962205826E-2</v>
      </c>
      <c r="X36" s="2675"/>
      <c r="Y36" s="2675"/>
      <c r="Z36" s="2675"/>
    </row>
    <row r="37" spans="1:26" ht="13.5" thickBot="1">
      <c r="A37" s="2656" t="s">
        <v>2595</v>
      </c>
      <c r="B37" s="2662">
        <v>269</v>
      </c>
      <c r="C37" s="2662">
        <v>221</v>
      </c>
      <c r="D37" s="2662">
        <f t="shared" si="55"/>
        <v>221</v>
      </c>
      <c r="E37" s="2662">
        <v>373</v>
      </c>
      <c r="F37" s="2663">
        <v>196</v>
      </c>
      <c r="G37" s="3456">
        <v>2010</v>
      </c>
      <c r="H37" s="2676">
        <v>4</v>
      </c>
      <c r="I37" s="2676">
        <v>5.72</v>
      </c>
      <c r="J37" s="2676">
        <v>6.57</v>
      </c>
      <c r="K37" s="2676">
        <v>5.72</v>
      </c>
      <c r="L37" s="2677">
        <v>2.72</v>
      </c>
      <c r="N37" s="2665">
        <f t="shared" si="57"/>
        <v>5.7200000000000001E-2</v>
      </c>
      <c r="O37" s="2666">
        <f t="shared" si="57"/>
        <v>6.5700000000000008E-2</v>
      </c>
      <c r="P37" s="2666">
        <f t="shared" si="57"/>
        <v>5.7200000000000001E-2</v>
      </c>
      <c r="Q37" s="2666">
        <f t="shared" si="57"/>
        <v>2.7200000000000002E-2</v>
      </c>
      <c r="R37" s="2667"/>
      <c r="S37" s="2668"/>
      <c r="T37" s="2669"/>
      <c r="U37" s="2669"/>
      <c r="V37" s="2669"/>
      <c r="X37" s="2669"/>
      <c r="Y37" s="2669"/>
      <c r="Z37" s="2669"/>
    </row>
    <row r="38" spans="1:26">
      <c r="A38" s="2656" t="s">
        <v>2596</v>
      </c>
      <c r="B38" s="2670">
        <f t="shared" ref="B38:C40" si="69">B37/(1+N37)</f>
        <v>254.44570563753314</v>
      </c>
      <c r="C38" s="2670">
        <f t="shared" si="69"/>
        <v>207.37543398705074</v>
      </c>
      <c r="D38" s="2670">
        <f t="shared" si="55"/>
        <v>207.37543398705074</v>
      </c>
      <c r="E38" s="2670">
        <f t="shared" ref="E38:F40" si="70">E37/(1+P37)</f>
        <v>352.81876655315932</v>
      </c>
      <c r="F38" s="2670">
        <f t="shared" si="70"/>
        <v>190.809968847352</v>
      </c>
      <c r="G38" s="3457">
        <v>2010</v>
      </c>
      <c r="H38" s="2681">
        <v>3</v>
      </c>
      <c r="I38" s="2681">
        <v>4.7300000000000004</v>
      </c>
      <c r="J38" s="2681">
        <v>3.9</v>
      </c>
      <c r="K38" s="2681">
        <v>5.03</v>
      </c>
      <c r="L38" s="2682">
        <v>4.21</v>
      </c>
      <c r="N38" s="2665">
        <f t="shared" si="57"/>
        <v>4.7300000000000002E-2</v>
      </c>
      <c r="O38" s="2666">
        <f t="shared" si="57"/>
        <v>3.9E-2</v>
      </c>
      <c r="P38" s="2666">
        <f t="shared" si="57"/>
        <v>5.0300000000000004E-2</v>
      </c>
      <c r="Q38" s="2666">
        <f t="shared" si="57"/>
        <v>4.2099999999999999E-2</v>
      </c>
      <c r="R38" s="2667"/>
      <c r="S38" s="2665"/>
      <c r="T38" s="2666"/>
      <c r="U38" s="2666"/>
      <c r="V38" s="2666"/>
    </row>
    <row r="39" spans="1:26">
      <c r="A39" s="2656" t="s">
        <v>2597</v>
      </c>
      <c r="B39" s="2670">
        <f t="shared" si="69"/>
        <v>242.95398227588385</v>
      </c>
      <c r="C39" s="2670">
        <f t="shared" si="69"/>
        <v>199.59137053614126</v>
      </c>
      <c r="D39" s="2670">
        <f t="shared" si="55"/>
        <v>199.59137053614126</v>
      </c>
      <c r="E39" s="2670">
        <f t="shared" si="70"/>
        <v>335.92189522342125</v>
      </c>
      <c r="F39" s="2670">
        <f t="shared" si="70"/>
        <v>183.10139991109489</v>
      </c>
      <c r="G39" s="3457">
        <v>2010</v>
      </c>
      <c r="H39" s="2661">
        <v>2</v>
      </c>
      <c r="I39" s="2661">
        <v>4.6900000000000004</v>
      </c>
      <c r="J39" s="2661">
        <v>3.55</v>
      </c>
      <c r="K39" s="2661">
        <v>5.07</v>
      </c>
      <c r="L39" s="2672">
        <v>4.2300000000000004</v>
      </c>
      <c r="N39" s="2665">
        <f t="shared" si="57"/>
        <v>4.6900000000000004E-2</v>
      </c>
      <c r="O39" s="2666">
        <f t="shared" si="57"/>
        <v>3.5499999999999997E-2</v>
      </c>
      <c r="P39" s="2666">
        <f t="shared" si="57"/>
        <v>5.0700000000000002E-2</v>
      </c>
      <c r="Q39" s="2666">
        <f t="shared" si="57"/>
        <v>4.2300000000000004E-2</v>
      </c>
      <c r="R39" s="2667"/>
      <c r="S39" s="2665"/>
      <c r="T39" s="2666"/>
      <c r="U39" s="2666"/>
      <c r="V39" s="2666"/>
    </row>
    <row r="40" spans="1:26" ht="13.5" thickBot="1">
      <c r="A40" s="2656" t="s">
        <v>2598</v>
      </c>
      <c r="B40" s="2670">
        <f t="shared" si="69"/>
        <v>232.06990378821649</v>
      </c>
      <c r="C40" s="2670">
        <f t="shared" si="69"/>
        <v>192.74878854286936</v>
      </c>
      <c r="D40" s="2670">
        <f t="shared" si="55"/>
        <v>192.74878854286936</v>
      </c>
      <c r="E40" s="2670">
        <f t="shared" si="70"/>
        <v>319.71247284992984</v>
      </c>
      <c r="F40" s="2670">
        <f t="shared" si="70"/>
        <v>175.67053622862409</v>
      </c>
      <c r="G40" s="3458">
        <v>2010</v>
      </c>
      <c r="H40" s="2660">
        <v>1</v>
      </c>
      <c r="I40" s="2660">
        <v>5.4</v>
      </c>
      <c r="J40" s="2660">
        <v>3.2</v>
      </c>
      <c r="K40" s="2660">
        <v>6.16</v>
      </c>
      <c r="L40" s="2671">
        <v>4.51</v>
      </c>
      <c r="N40" s="2665">
        <f t="shared" si="57"/>
        <v>5.4000000000000006E-2</v>
      </c>
      <c r="O40" s="2666">
        <f t="shared" si="57"/>
        <v>3.2000000000000001E-2</v>
      </c>
      <c r="P40" s="2666">
        <f t="shared" si="57"/>
        <v>6.1600000000000002E-2</v>
      </c>
      <c r="Q40" s="2666">
        <f t="shared" si="57"/>
        <v>4.5100000000000001E-2</v>
      </c>
      <c r="R40" s="2667"/>
      <c r="S40" s="2673">
        <f>B40/B41-1</f>
        <v>5.4863199037347599E-2</v>
      </c>
      <c r="T40" s="2674">
        <f>C40/C41-1</f>
        <v>3.0742184721226584E-2</v>
      </c>
      <c r="U40" s="2674">
        <f>E40/E41-1</f>
        <v>6.2167683886810154E-2</v>
      </c>
      <c r="V40" s="2674">
        <f>F40/F41-1</f>
        <v>4.5657953741810031E-2</v>
      </c>
      <c r="X40" s="2675"/>
      <c r="Y40" s="2675"/>
      <c r="Z40" s="2675"/>
    </row>
    <row r="41" spans="1:26" ht="13.5" thickBot="1">
      <c r="A41" s="2656" t="s">
        <v>2599</v>
      </c>
      <c r="B41" s="2662">
        <v>220</v>
      </c>
      <c r="C41" s="2662">
        <v>187</v>
      </c>
      <c r="D41" s="2662">
        <f t="shared" si="55"/>
        <v>187</v>
      </c>
      <c r="E41" s="2662">
        <v>301</v>
      </c>
      <c r="F41" s="2663">
        <v>168</v>
      </c>
      <c r="G41" s="3456">
        <v>2009</v>
      </c>
      <c r="H41" s="2676">
        <v>4</v>
      </c>
      <c r="I41" s="2676">
        <v>2.2999999999999998</v>
      </c>
      <c r="J41" s="2676">
        <v>1.04</v>
      </c>
      <c r="K41" s="2676">
        <v>2.84</v>
      </c>
      <c r="L41" s="2677">
        <v>0.67</v>
      </c>
      <c r="N41" s="2678">
        <f t="shared" si="57"/>
        <v>2.3E-2</v>
      </c>
      <c r="O41" s="2679">
        <f t="shared" si="57"/>
        <v>1.04E-2</v>
      </c>
      <c r="P41" s="2679">
        <f t="shared" si="57"/>
        <v>2.8399999999999998E-2</v>
      </c>
      <c r="Q41" s="2679">
        <f t="shared" si="57"/>
        <v>6.7000000000000002E-3</v>
      </c>
      <c r="R41" s="2667"/>
      <c r="S41" s="2668"/>
      <c r="T41" s="2669"/>
      <c r="U41" s="2669"/>
      <c r="V41" s="2669"/>
      <c r="X41" s="2669"/>
      <c r="Y41" s="2669"/>
      <c r="Z41" s="2669"/>
    </row>
    <row r="42" spans="1:26">
      <c r="A42" s="2656" t="s">
        <v>2600</v>
      </c>
      <c r="B42" s="2670">
        <f t="shared" ref="B42:C44" si="71">B41/(1+N41)</f>
        <v>215.05376344086022</v>
      </c>
      <c r="C42" s="2670">
        <f t="shared" si="71"/>
        <v>185.0752177355503</v>
      </c>
      <c r="D42" s="2670">
        <f t="shared" si="55"/>
        <v>185.0752177355503</v>
      </c>
      <c r="E42" s="2670">
        <f t="shared" ref="E42:F44" si="72">E41/(1+P41)</f>
        <v>292.68767016725008</v>
      </c>
      <c r="F42" s="2670">
        <f t="shared" si="72"/>
        <v>166.88189132810174</v>
      </c>
      <c r="G42" s="3457">
        <v>2009</v>
      </c>
      <c r="H42" s="2681">
        <v>3</v>
      </c>
      <c r="I42" s="2681">
        <v>2.1</v>
      </c>
      <c r="J42" s="2681">
        <v>1.86</v>
      </c>
      <c r="K42" s="2681">
        <v>2.29</v>
      </c>
      <c r="L42" s="2682">
        <v>0.85</v>
      </c>
      <c r="N42" s="2665">
        <f t="shared" si="57"/>
        <v>2.1000000000000001E-2</v>
      </c>
      <c r="O42" s="2683">
        <f t="shared" si="57"/>
        <v>1.8600000000000002E-2</v>
      </c>
      <c r="P42" s="2683">
        <f t="shared" si="57"/>
        <v>2.29E-2</v>
      </c>
      <c r="Q42" s="2683">
        <f t="shared" si="57"/>
        <v>8.5000000000000006E-3</v>
      </c>
      <c r="R42" s="2667"/>
      <c r="S42" s="2665"/>
      <c r="T42" s="2666"/>
      <c r="U42" s="2666"/>
      <c r="V42" s="2666"/>
    </row>
    <row r="43" spans="1:26">
      <c r="A43" s="2656" t="s">
        <v>2601</v>
      </c>
      <c r="B43" s="2670">
        <f t="shared" si="71"/>
        <v>210.630522469011</v>
      </c>
      <c r="C43" s="2670">
        <f t="shared" si="71"/>
        <v>181.69567812247232</v>
      </c>
      <c r="D43" s="2670">
        <f t="shared" si="55"/>
        <v>181.69567812247232</v>
      </c>
      <c r="E43" s="2670">
        <f t="shared" si="72"/>
        <v>286.13517466736738</v>
      </c>
      <c r="F43" s="2670">
        <f t="shared" si="72"/>
        <v>165.47535084591149</v>
      </c>
      <c r="G43" s="3457">
        <v>2009</v>
      </c>
      <c r="H43" s="2661">
        <v>2</v>
      </c>
      <c r="I43" s="2661">
        <v>0.86</v>
      </c>
      <c r="J43" s="2661">
        <v>-1.1299999999999999</v>
      </c>
      <c r="K43" s="2661">
        <v>1.79</v>
      </c>
      <c r="L43" s="2672">
        <v>-2.0699999999999998</v>
      </c>
      <c r="N43" s="2665">
        <f t="shared" si="57"/>
        <v>8.6E-3</v>
      </c>
      <c r="O43" s="2683">
        <f t="shared" si="57"/>
        <v>-1.1299999999999999E-2</v>
      </c>
      <c r="P43" s="2683">
        <f t="shared" si="57"/>
        <v>1.7899999999999999E-2</v>
      </c>
      <c r="Q43" s="2683">
        <f t="shared" si="57"/>
        <v>-2.07E-2</v>
      </c>
      <c r="R43" s="2667"/>
      <c r="S43" s="2665"/>
      <c r="T43" s="2666"/>
      <c r="U43" s="2666"/>
      <c r="V43" s="2666"/>
    </row>
    <row r="44" spans="1:26">
      <c r="A44" s="2656" t="s">
        <v>2602</v>
      </c>
      <c r="B44" s="2670">
        <f t="shared" si="71"/>
        <v>208.83454537875372</v>
      </c>
      <c r="C44" s="2670">
        <f t="shared" si="71"/>
        <v>183.77230517090351</v>
      </c>
      <c r="D44" s="2670">
        <f t="shared" si="55"/>
        <v>183.77230517090351</v>
      </c>
      <c r="E44" s="2670">
        <f t="shared" si="72"/>
        <v>281.10342338870947</v>
      </c>
      <c r="F44" s="2670">
        <f t="shared" si="72"/>
        <v>168.97309388942256</v>
      </c>
      <c r="G44" s="3458">
        <v>2009</v>
      </c>
      <c r="H44" s="2660">
        <v>1</v>
      </c>
      <c r="I44" s="2660">
        <v>-2.64</v>
      </c>
      <c r="J44" s="2660">
        <v>-2.5299999999999998</v>
      </c>
      <c r="K44" s="2660">
        <v>-3.02</v>
      </c>
      <c r="L44" s="2671">
        <v>1.52</v>
      </c>
      <c r="N44" s="2673">
        <f t="shared" si="57"/>
        <v>-2.64E-2</v>
      </c>
      <c r="O44" s="2674">
        <f t="shared" si="57"/>
        <v>-2.53E-2</v>
      </c>
      <c r="P44" s="2674">
        <f t="shared" si="57"/>
        <v>-3.0200000000000001E-2</v>
      </c>
      <c r="Q44" s="2674">
        <f t="shared" si="57"/>
        <v>1.52E-2</v>
      </c>
      <c r="R44" s="2667"/>
      <c r="S44" s="2673">
        <f>B44/B45-1</f>
        <v>-2.4137638417038754E-2</v>
      </c>
      <c r="T44" s="2674">
        <f>C44/C45-1</f>
        <v>-2.248773845264096E-2</v>
      </c>
      <c r="U44" s="2674">
        <f>E44/E45-1</f>
        <v>-2.7323794502735366E-2</v>
      </c>
      <c r="V44" s="2674">
        <f>F44/F45-1</f>
        <v>1.7910204153148035E-2</v>
      </c>
      <c r="X44" s="2675"/>
      <c r="Y44" s="2675"/>
      <c r="Z44" s="2675"/>
    </row>
    <row r="45" spans="1:26" ht="13.5" thickBot="1">
      <c r="A45" s="2656" t="s">
        <v>2603</v>
      </c>
      <c r="B45" s="2700">
        <v>214</v>
      </c>
      <c r="C45" s="2700">
        <v>188</v>
      </c>
      <c r="D45" s="2700">
        <f t="shared" si="55"/>
        <v>188</v>
      </c>
      <c r="E45" s="2700">
        <v>289</v>
      </c>
      <c r="F45" s="2701">
        <v>166</v>
      </c>
      <c r="G45" s="3456">
        <v>2008</v>
      </c>
      <c r="H45" s="2676">
        <v>4</v>
      </c>
      <c r="I45" s="2676">
        <v>1.73</v>
      </c>
      <c r="J45" s="2676">
        <v>0.03</v>
      </c>
      <c r="K45" s="2676">
        <v>2.59</v>
      </c>
      <c r="L45" s="2677">
        <v>-1.66</v>
      </c>
      <c r="N45" s="2665">
        <f t="shared" si="57"/>
        <v>1.7299999999999999E-2</v>
      </c>
      <c r="O45" s="2666">
        <f t="shared" si="57"/>
        <v>2.9999999999999997E-4</v>
      </c>
      <c r="P45" s="2666">
        <f t="shared" si="57"/>
        <v>2.5899999999999999E-2</v>
      </c>
      <c r="Q45" s="2666">
        <f t="shared" si="57"/>
        <v>-1.66E-2</v>
      </c>
      <c r="R45" s="2667"/>
      <c r="S45" s="2668"/>
      <c r="T45" s="2669"/>
      <c r="U45" s="2669"/>
      <c r="V45" s="2669"/>
      <c r="X45" s="2669"/>
      <c r="Y45" s="2669"/>
      <c r="Z45" s="2669"/>
    </row>
    <row r="46" spans="1:26">
      <c r="A46" s="2656" t="s">
        <v>2604</v>
      </c>
      <c r="B46" s="2670">
        <f t="shared" ref="B46:C48" si="73">B45/(1+N45)</f>
        <v>210.36075887152265</v>
      </c>
      <c r="C46" s="2670">
        <f t="shared" si="73"/>
        <v>187.94361691492554</v>
      </c>
      <c r="D46" s="2670">
        <f t="shared" si="55"/>
        <v>187.94361691492554</v>
      </c>
      <c r="E46" s="2670">
        <f t="shared" ref="E46:F48" si="74">E45/(1+P45)</f>
        <v>281.70386977288234</v>
      </c>
      <c r="F46" s="2670">
        <f t="shared" si="74"/>
        <v>168.80211511083994</v>
      </c>
      <c r="G46" s="3457">
        <v>2008</v>
      </c>
      <c r="H46" s="2681">
        <v>3</v>
      </c>
      <c r="I46" s="2681">
        <v>1.96</v>
      </c>
      <c r="J46" s="2681">
        <v>2.36</v>
      </c>
      <c r="K46" s="2681">
        <v>1.82</v>
      </c>
      <c r="L46" s="2682">
        <v>2.2200000000000002</v>
      </c>
      <c r="N46" s="2665">
        <f t="shared" si="57"/>
        <v>1.9599999999999999E-2</v>
      </c>
      <c r="O46" s="2666">
        <f t="shared" si="57"/>
        <v>2.3599999999999999E-2</v>
      </c>
      <c r="P46" s="2666">
        <f t="shared" si="57"/>
        <v>1.8200000000000001E-2</v>
      </c>
      <c r="Q46" s="2666">
        <f t="shared" si="57"/>
        <v>2.2200000000000001E-2</v>
      </c>
      <c r="R46" s="2667"/>
      <c r="S46" s="2665"/>
      <c r="T46" s="2666"/>
      <c r="U46" s="2666"/>
      <c r="V46" s="2666"/>
    </row>
    <row r="47" spans="1:26">
      <c r="A47" s="2656" t="s">
        <v>2605</v>
      </c>
      <c r="B47" s="2670">
        <f t="shared" si="73"/>
        <v>206.31694671589116</v>
      </c>
      <c r="C47" s="2670">
        <f t="shared" si="73"/>
        <v>183.61041121036101</v>
      </c>
      <c r="D47" s="2670">
        <f t="shared" si="55"/>
        <v>183.61041121036101</v>
      </c>
      <c r="E47" s="2670">
        <f t="shared" si="74"/>
        <v>276.66850301795557</v>
      </c>
      <c r="F47" s="2670">
        <f t="shared" si="74"/>
        <v>165.1360938278614</v>
      </c>
      <c r="G47" s="3457">
        <v>2008</v>
      </c>
      <c r="H47" s="2661">
        <v>2</v>
      </c>
      <c r="I47" s="2661">
        <v>4.93</v>
      </c>
      <c r="J47" s="2661">
        <v>7.38</v>
      </c>
      <c r="K47" s="2661">
        <v>3.98</v>
      </c>
      <c r="L47" s="2672">
        <v>6.86</v>
      </c>
      <c r="N47" s="2665">
        <f t="shared" si="57"/>
        <v>4.9299999999999997E-2</v>
      </c>
      <c r="O47" s="2666">
        <f t="shared" si="57"/>
        <v>7.3800000000000004E-2</v>
      </c>
      <c r="P47" s="2666">
        <f t="shared" si="57"/>
        <v>3.9800000000000002E-2</v>
      </c>
      <c r="Q47" s="2666">
        <f t="shared" si="57"/>
        <v>6.8600000000000008E-2</v>
      </c>
      <c r="R47" s="2667"/>
      <c r="S47" s="2665"/>
      <c r="T47" s="2666"/>
      <c r="U47" s="2666"/>
      <c r="V47" s="2666"/>
    </row>
    <row r="48" spans="1:26" s="2706" customFormat="1" ht="13.5" thickBot="1">
      <c r="A48" s="2656" t="s">
        <v>2606</v>
      </c>
      <c r="B48" s="2703">
        <f t="shared" si="73"/>
        <v>196.62341248059772</v>
      </c>
      <c r="C48" s="2703">
        <f t="shared" si="73"/>
        <v>170.99125648199012</v>
      </c>
      <c r="D48" s="2703">
        <f t="shared" si="55"/>
        <v>170.99125648199012</v>
      </c>
      <c r="E48" s="2703">
        <f t="shared" si="74"/>
        <v>266.07857570490052</v>
      </c>
      <c r="F48" s="2703">
        <f t="shared" si="74"/>
        <v>154.53499328828505</v>
      </c>
      <c r="G48" s="3458">
        <v>2008</v>
      </c>
      <c r="H48" s="2704">
        <v>1</v>
      </c>
      <c r="I48" s="2704">
        <v>4.1399999999999997</v>
      </c>
      <c r="J48" s="2704">
        <v>3.45</v>
      </c>
      <c r="K48" s="2704">
        <v>4.95</v>
      </c>
      <c r="L48" s="2705">
        <v>4.82</v>
      </c>
      <c r="N48" s="2707">
        <f t="shared" si="57"/>
        <v>4.1399999999999999E-2</v>
      </c>
      <c r="O48" s="2708">
        <f t="shared" si="57"/>
        <v>3.4500000000000003E-2</v>
      </c>
      <c r="P48" s="2708">
        <f t="shared" si="57"/>
        <v>4.9500000000000002E-2</v>
      </c>
      <c r="Q48" s="2708">
        <f t="shared" si="57"/>
        <v>4.82E-2</v>
      </c>
      <c r="R48" s="2709"/>
      <c r="S48" s="2707">
        <f>B48/B49-1</f>
        <v>4.5869215322328349E-2</v>
      </c>
      <c r="T48" s="2708">
        <f>C48/C49-1</f>
        <v>3.6310645345394743E-2</v>
      </c>
      <c r="U48" s="2708">
        <f>E48/E49-1</f>
        <v>4.7553447657088688E-2</v>
      </c>
      <c r="V48" s="2708">
        <f>F48/F49-1</f>
        <v>4.4155360055980086E-2</v>
      </c>
      <c r="X48" s="2710"/>
      <c r="Y48" s="2710"/>
      <c r="Z48" s="2710"/>
    </row>
    <row r="49" spans="1:26" ht="13.5" thickBot="1">
      <c r="A49" s="2656" t="s">
        <v>2607</v>
      </c>
      <c r="B49" s="2662">
        <v>188</v>
      </c>
      <c r="C49" s="2662">
        <v>165</v>
      </c>
      <c r="D49" s="2662">
        <f t="shared" si="55"/>
        <v>165</v>
      </c>
      <c r="E49" s="2662">
        <v>254</v>
      </c>
      <c r="F49" s="2663">
        <v>148</v>
      </c>
      <c r="G49" s="3456">
        <v>2007</v>
      </c>
      <c r="H49" s="2711">
        <v>4</v>
      </c>
      <c r="I49" s="2711">
        <v>5.51</v>
      </c>
      <c r="J49" s="2711">
        <v>4.8899999999999997</v>
      </c>
      <c r="K49" s="2711">
        <v>6.43</v>
      </c>
      <c r="L49" s="2712">
        <v>5.36</v>
      </c>
      <c r="N49" s="2713">
        <f t="shared" ref="N49:O52" si="75">B49/B50-1</f>
        <v>4.1339718365245526E-2</v>
      </c>
      <c r="O49" s="2714">
        <f t="shared" si="75"/>
        <v>4.0324492593776018E-2</v>
      </c>
      <c r="P49" s="2714">
        <f t="shared" ref="P49:Q52" si="76">E49/E50-1</f>
        <v>6.1625555347990968E-2</v>
      </c>
      <c r="Q49" s="2714">
        <f t="shared" si="76"/>
        <v>4.6757569250590603E-2</v>
      </c>
      <c r="R49" s="2667"/>
      <c r="S49" s="2668"/>
      <c r="T49" s="2669"/>
      <c r="U49" s="2669"/>
      <c r="V49" s="2669"/>
      <c r="X49" s="2669"/>
      <c r="Y49" s="2669"/>
      <c r="Z49" s="2669"/>
    </row>
    <row r="50" spans="1:26">
      <c r="A50" s="2656" t="s">
        <v>2608</v>
      </c>
      <c r="B50" s="2670">
        <f t="shared" ref="B50:C52" si="77">B51+(B$49-B$53)*I50/SUM(I$49:I$52)</f>
        <v>180.5366651097618</v>
      </c>
      <c r="C50" s="2670">
        <f t="shared" si="77"/>
        <v>158.60435967302453</v>
      </c>
      <c r="D50" s="2670">
        <f t="shared" si="55"/>
        <v>158.60435967302453</v>
      </c>
      <c r="E50" s="2670">
        <f t="shared" ref="E50:F52" si="78">E51+(E$49-E$53)*K50/SUM(K$49:K$52)</f>
        <v>239.25573260785075</v>
      </c>
      <c r="F50" s="2670">
        <f t="shared" si="78"/>
        <v>141.38899430740037</v>
      </c>
      <c r="G50" s="3457">
        <v>2007</v>
      </c>
      <c r="H50" s="2681">
        <v>3</v>
      </c>
      <c r="I50" s="2681">
        <v>8.65</v>
      </c>
      <c r="J50" s="2681">
        <v>8.06</v>
      </c>
      <c r="K50" s="2681">
        <v>9.94</v>
      </c>
      <c r="L50" s="2682">
        <v>5.8</v>
      </c>
      <c r="N50" s="2713">
        <f t="shared" si="75"/>
        <v>6.940217571740015E-2</v>
      </c>
      <c r="O50" s="2714">
        <f t="shared" si="75"/>
        <v>7.1197482471153428E-2</v>
      </c>
      <c r="P50" s="2714">
        <f t="shared" si="76"/>
        <v>0.10529679922579582</v>
      </c>
      <c r="Q50" s="2714">
        <f t="shared" si="76"/>
        <v>5.3292245059512133E-2</v>
      </c>
      <c r="R50" s="2667"/>
      <c r="S50" s="2665"/>
      <c r="T50" s="2666"/>
      <c r="U50" s="2666"/>
      <c r="V50" s="2666"/>
      <c r="X50" s="2715"/>
      <c r="Y50" s="2715"/>
      <c r="Z50" s="2715"/>
    </row>
    <row r="51" spans="1:26">
      <c r="A51" s="2656" t="s">
        <v>2609</v>
      </c>
      <c r="B51" s="2670">
        <f t="shared" si="77"/>
        <v>168.82017748715555</v>
      </c>
      <c r="C51" s="2670">
        <f t="shared" si="77"/>
        <v>148.06267029972753</v>
      </c>
      <c r="D51" s="2670">
        <f t="shared" si="55"/>
        <v>148.06267029972753</v>
      </c>
      <c r="E51" s="2670">
        <f t="shared" si="78"/>
        <v>216.46288379323747</v>
      </c>
      <c r="F51" s="2670">
        <f t="shared" si="78"/>
        <v>134.23529411764704</v>
      </c>
      <c r="G51" s="3457">
        <v>2007</v>
      </c>
      <c r="H51" s="2661">
        <v>2</v>
      </c>
      <c r="I51" s="2661">
        <v>3.67</v>
      </c>
      <c r="J51" s="2661">
        <v>2.3199999999999998</v>
      </c>
      <c r="K51" s="2661">
        <v>5.0199999999999996</v>
      </c>
      <c r="L51" s="2672">
        <v>6.71</v>
      </c>
      <c r="N51" s="2713">
        <f t="shared" si="75"/>
        <v>3.0339138143848032E-2</v>
      </c>
      <c r="O51" s="2714">
        <f t="shared" si="75"/>
        <v>2.0922341588790472E-2</v>
      </c>
      <c r="P51" s="2714">
        <f t="shared" si="76"/>
        <v>5.6164796592717003E-2</v>
      </c>
      <c r="Q51" s="2714">
        <f t="shared" si="76"/>
        <v>6.5704536723887319E-2</v>
      </c>
      <c r="R51" s="2667"/>
      <c r="S51" s="2665"/>
      <c r="T51" s="2666"/>
      <c r="U51" s="2666"/>
      <c r="V51" s="2666"/>
      <c r="X51" s="2715"/>
      <c r="Y51" s="2715"/>
      <c r="Z51" s="2715"/>
    </row>
    <row r="52" spans="1:26">
      <c r="A52" s="2656" t="s">
        <v>2610</v>
      </c>
      <c r="B52" s="2670">
        <f t="shared" si="77"/>
        <v>163.84913591779542</v>
      </c>
      <c r="C52" s="2670">
        <f t="shared" si="77"/>
        <v>145.0283378746594</v>
      </c>
      <c r="D52" s="2670">
        <f t="shared" si="55"/>
        <v>145.0283378746594</v>
      </c>
      <c r="E52" s="2670">
        <f t="shared" si="78"/>
        <v>204.95180722891567</v>
      </c>
      <c r="F52" s="2670">
        <f t="shared" si="78"/>
        <v>125.95920303605313</v>
      </c>
      <c r="G52" s="3458">
        <v>2007</v>
      </c>
      <c r="H52" s="2660">
        <v>1</v>
      </c>
      <c r="I52" s="2660">
        <v>3.58</v>
      </c>
      <c r="J52" s="2660">
        <v>3.08</v>
      </c>
      <c r="K52" s="2660">
        <v>4.34</v>
      </c>
      <c r="L52" s="2671">
        <v>3.21</v>
      </c>
      <c r="N52" s="2716">
        <f t="shared" si="75"/>
        <v>3.0497710174814063E-2</v>
      </c>
      <c r="O52" s="2717">
        <f t="shared" si="75"/>
        <v>2.8569772160704998E-2</v>
      </c>
      <c r="P52" s="2717">
        <f t="shared" si="76"/>
        <v>5.1034908866234296E-2</v>
      </c>
      <c r="Q52" s="2717">
        <f t="shared" si="76"/>
        <v>3.245248390207478E-2</v>
      </c>
      <c r="R52" s="2667"/>
      <c r="S52" s="2673">
        <f>B52/B53-1</f>
        <v>3.0497710174814063E-2</v>
      </c>
      <c r="T52" s="2674">
        <f>C52/C53-1</f>
        <v>2.8569772160704998E-2</v>
      </c>
      <c r="U52" s="2674">
        <f>E52/E53-1</f>
        <v>5.1034908866234296E-2</v>
      </c>
      <c r="V52" s="2674">
        <f>F52/F53-1</f>
        <v>3.245248390207478E-2</v>
      </c>
      <c r="X52" s="2715"/>
      <c r="Y52" s="2715"/>
      <c r="Z52" s="2715"/>
    </row>
    <row r="53" spans="1:26" ht="13.5" thickBot="1">
      <c r="A53" s="2656" t="s">
        <v>2611</v>
      </c>
      <c r="B53" s="2684">
        <v>159</v>
      </c>
      <c r="C53" s="2684">
        <v>141</v>
      </c>
      <c r="D53" s="2684">
        <f t="shared" si="55"/>
        <v>141</v>
      </c>
      <c r="E53" s="2684">
        <v>195</v>
      </c>
      <c r="F53" s="2685">
        <v>122</v>
      </c>
      <c r="G53" s="3456">
        <v>2006</v>
      </c>
      <c r="H53" s="2676">
        <v>4</v>
      </c>
      <c r="I53" s="2676">
        <v>3.79</v>
      </c>
      <c r="J53" s="2676">
        <v>2.21</v>
      </c>
      <c r="K53" s="2676">
        <v>5.65</v>
      </c>
      <c r="L53" s="2677">
        <v>5.41</v>
      </c>
      <c r="N53" s="2713">
        <f t="shared" ref="N53:O56" si="79">I53/SUM(I$53:I$56)*(B$53/B$57-1)</f>
        <v>7.245466462748526E-2</v>
      </c>
      <c r="O53" s="2714">
        <f t="shared" si="79"/>
        <v>2.3237230038062766E-2</v>
      </c>
      <c r="P53" s="2714">
        <f t="shared" ref="P53:Q56" si="80">K53/SUM(K$53:K$56)*(E$53/E$57-1)</f>
        <v>0.16146893866323722</v>
      </c>
      <c r="Q53" s="2714">
        <f t="shared" si="80"/>
        <v>5.0755230321793784E-2</v>
      </c>
      <c r="R53" s="2667"/>
      <c r="S53" s="2668"/>
      <c r="T53" s="2669"/>
      <c r="U53" s="2669"/>
      <c r="V53" s="2669"/>
      <c r="X53" s="2715"/>
      <c r="Y53" s="2715"/>
      <c r="Z53" s="2715"/>
    </row>
    <row r="54" spans="1:26">
      <c r="A54" s="2656" t="s">
        <v>2612</v>
      </c>
      <c r="B54" s="2670">
        <f t="shared" ref="B54:C56" si="81">B55+(B$53-B$57)*I54/SUM(I$53:I$56)</f>
        <v>149.00125628140702</v>
      </c>
      <c r="C54" s="2670">
        <f t="shared" si="81"/>
        <v>137.95592286501378</v>
      </c>
      <c r="D54" s="2670">
        <f t="shared" si="55"/>
        <v>137.95592286501378</v>
      </c>
      <c r="E54" s="2670">
        <f t="shared" ref="E54:F56" si="82">E55+(E$53-E$57)*K54/SUM(K$53:K$56)</f>
        <v>169.97231450719823</v>
      </c>
      <c r="F54" s="2670">
        <f t="shared" si="82"/>
        <v>116.21390374331551</v>
      </c>
      <c r="G54" s="3457">
        <v>2006</v>
      </c>
      <c r="H54" s="2681">
        <v>3</v>
      </c>
      <c r="I54" s="2681">
        <v>0.92</v>
      </c>
      <c r="J54" s="2681">
        <v>1.08</v>
      </c>
      <c r="K54" s="2681">
        <v>0.73</v>
      </c>
      <c r="L54" s="2682">
        <v>1.08</v>
      </c>
      <c r="N54" s="2713">
        <f t="shared" si="79"/>
        <v>1.7587939698492462E-2</v>
      </c>
      <c r="O54" s="2714">
        <f t="shared" si="79"/>
        <v>1.1355750425840628E-2</v>
      </c>
      <c r="P54" s="2714">
        <f t="shared" si="80"/>
        <v>2.0862358446754544E-2</v>
      </c>
      <c r="Q54" s="2714">
        <f t="shared" si="80"/>
        <v>1.0132282578103011E-2</v>
      </c>
      <c r="R54" s="2667"/>
      <c r="S54" s="2665"/>
      <c r="T54" s="2666"/>
      <c r="U54" s="2666"/>
      <c r="V54" s="2666"/>
      <c r="X54" s="2715"/>
      <c r="Y54" s="2715"/>
      <c r="Z54" s="2715"/>
    </row>
    <row r="55" spans="1:26">
      <c r="A55" s="2656" t="s">
        <v>2613</v>
      </c>
      <c r="B55" s="2670">
        <f t="shared" si="81"/>
        <v>146.57412060301507</v>
      </c>
      <c r="C55" s="2670">
        <f t="shared" si="81"/>
        <v>136.46831955922866</v>
      </c>
      <c r="D55" s="2670">
        <f t="shared" si="55"/>
        <v>136.46831955922866</v>
      </c>
      <c r="E55" s="2670">
        <f t="shared" si="82"/>
        <v>166.73864894795128</v>
      </c>
      <c r="F55" s="2670">
        <f t="shared" si="82"/>
        <v>115.05882352941177</v>
      </c>
      <c r="G55" s="3457">
        <v>2006</v>
      </c>
      <c r="H55" s="2661">
        <v>2</v>
      </c>
      <c r="I55" s="2661">
        <v>0.96</v>
      </c>
      <c r="J55" s="2661">
        <v>0.25</v>
      </c>
      <c r="K55" s="2661">
        <v>1.9</v>
      </c>
      <c r="L55" s="2672">
        <v>0.95</v>
      </c>
      <c r="N55" s="2713">
        <f t="shared" si="79"/>
        <v>1.8352632728861701E-2</v>
      </c>
      <c r="O55" s="2714">
        <f t="shared" si="79"/>
        <v>2.6286459319075526E-3</v>
      </c>
      <c r="P55" s="2714">
        <f t="shared" si="80"/>
        <v>5.4299289107991269E-2</v>
      </c>
      <c r="Q55" s="2714">
        <f t="shared" si="80"/>
        <v>8.9126559714794995E-3</v>
      </c>
      <c r="R55" s="2667"/>
      <c r="S55" s="2665"/>
      <c r="T55" s="2666"/>
      <c r="U55" s="2666"/>
      <c r="V55" s="2666"/>
      <c r="X55" s="2715"/>
      <c r="Y55" s="2715"/>
      <c r="Z55" s="2715"/>
    </row>
    <row r="56" spans="1:26">
      <c r="A56" s="2656" t="s">
        <v>2614</v>
      </c>
      <c r="B56" s="2670">
        <f t="shared" si="81"/>
        <v>144.04145728643215</v>
      </c>
      <c r="C56" s="2670">
        <f t="shared" si="81"/>
        <v>136.12396694214877</v>
      </c>
      <c r="D56" s="2670">
        <f t="shared" si="55"/>
        <v>136.12396694214877</v>
      </c>
      <c r="E56" s="2670">
        <f t="shared" si="82"/>
        <v>158.32225913621264</v>
      </c>
      <c r="F56" s="2670">
        <f t="shared" si="82"/>
        <v>114.04278074866311</v>
      </c>
      <c r="G56" s="3458">
        <v>2006</v>
      </c>
      <c r="H56" s="2660">
        <v>1</v>
      </c>
      <c r="I56" s="2660">
        <v>2.29</v>
      </c>
      <c r="J56" s="2660">
        <v>3.72</v>
      </c>
      <c r="K56" s="2660">
        <v>0.75</v>
      </c>
      <c r="L56" s="2671">
        <v>0.04</v>
      </c>
      <c r="N56" s="2716">
        <f t="shared" si="79"/>
        <v>4.3778675988638847E-2</v>
      </c>
      <c r="O56" s="2717">
        <f t="shared" si="79"/>
        <v>3.9114251466784385E-2</v>
      </c>
      <c r="P56" s="2717">
        <f t="shared" si="80"/>
        <v>2.1433929911049188E-2</v>
      </c>
      <c r="Q56" s="2717">
        <f t="shared" si="80"/>
        <v>3.7526972511492629E-4</v>
      </c>
      <c r="R56" s="2667"/>
      <c r="S56" s="2673">
        <f>B56/B57-1</f>
        <v>4.3778675988638716E-2</v>
      </c>
      <c r="T56" s="2674">
        <f>C56/C57-1</f>
        <v>3.91142514667846E-2</v>
      </c>
      <c r="U56" s="2674">
        <f>E56/E57-1</f>
        <v>2.143392991104931E-2</v>
      </c>
      <c r="V56" s="2674">
        <f>F56/F57-1</f>
        <v>3.7526972511492396E-4</v>
      </c>
      <c r="X56" s="2715"/>
      <c r="Y56" s="2715"/>
      <c r="Z56" s="2715"/>
    </row>
    <row r="57" spans="1:26" ht="13.5" thickBot="1">
      <c r="A57" s="2656" t="s">
        <v>2615</v>
      </c>
      <c r="B57" s="2684">
        <v>138</v>
      </c>
      <c r="C57" s="2684">
        <v>131</v>
      </c>
      <c r="D57" s="2684">
        <f t="shared" si="55"/>
        <v>131</v>
      </c>
      <c r="E57" s="2684">
        <v>155</v>
      </c>
      <c r="F57" s="2685">
        <v>114</v>
      </c>
      <c r="G57" s="3456">
        <v>2005</v>
      </c>
      <c r="H57" s="2676">
        <v>4</v>
      </c>
      <c r="I57" s="2676">
        <v>3.29</v>
      </c>
      <c r="J57" s="2676">
        <v>1.44</v>
      </c>
      <c r="K57" s="2676">
        <v>0.66</v>
      </c>
      <c r="L57" s="2677">
        <v>7.78</v>
      </c>
      <c r="N57" s="2713">
        <f t="shared" ref="N57:O60" si="83">I57/SUM(I$57:I$60)*(B$57/B$61-1)</f>
        <v>9.9404603216919935E-2</v>
      </c>
      <c r="O57" s="2714">
        <f t="shared" si="83"/>
        <v>4.7636550760861554E-2</v>
      </c>
      <c r="P57" s="2714">
        <f t="shared" ref="P57:Q60" si="84">K57/SUM(K$57:K$60)*(E$57/E$61-1)</f>
        <v>8.3756345177664976E-2</v>
      </c>
      <c r="Q57" s="2714">
        <f t="shared" si="84"/>
        <v>5.2148766661559584E-2</v>
      </c>
      <c r="R57" s="2667"/>
      <c r="S57" s="2668"/>
      <c r="T57" s="2669"/>
      <c r="U57" s="2669"/>
      <c r="V57" s="2669"/>
      <c r="X57" s="2715"/>
      <c r="Y57" s="2715"/>
      <c r="Z57" s="2715"/>
    </row>
    <row r="58" spans="1:26">
      <c r="A58" s="2656" t="s">
        <v>2616</v>
      </c>
      <c r="B58" s="2670">
        <f t="shared" ref="B58:C60" si="85">B59+(B$57-B$61)*I58/SUM(I$57:I$60)</f>
        <v>125.9720430107527</v>
      </c>
      <c r="C58" s="2670">
        <f t="shared" si="85"/>
        <v>125.1883408071749</v>
      </c>
      <c r="D58" s="2670">
        <f t="shared" si="55"/>
        <v>125.1883408071749</v>
      </c>
      <c r="E58" s="2670">
        <f t="shared" ref="E58:F60" si="86">E59+(E$57-E$61)*K58/SUM(K$57:K$60)</f>
        <v>144.61421319796952</v>
      </c>
      <c r="F58" s="2670">
        <f t="shared" si="86"/>
        <v>108.42008196721311</v>
      </c>
      <c r="G58" s="3457">
        <v>2005</v>
      </c>
      <c r="H58" s="2681">
        <v>3</v>
      </c>
      <c r="I58" s="2681">
        <v>0.46</v>
      </c>
      <c r="J58" s="2681">
        <v>0.32</v>
      </c>
      <c r="K58" s="2681">
        <v>0.42</v>
      </c>
      <c r="L58" s="2682">
        <v>0.64</v>
      </c>
      <c r="N58" s="2713">
        <f t="shared" si="83"/>
        <v>1.3898515951301874E-2</v>
      </c>
      <c r="O58" s="2714">
        <f t="shared" si="83"/>
        <v>1.0585900169080346E-2</v>
      </c>
      <c r="P58" s="2714">
        <f t="shared" si="84"/>
        <v>5.3299492385786795E-2</v>
      </c>
      <c r="Q58" s="2714">
        <f t="shared" si="84"/>
        <v>4.2898728359123568E-3</v>
      </c>
      <c r="R58" s="2667"/>
      <c r="S58" s="2665"/>
      <c r="T58" s="2666"/>
      <c r="U58" s="2666"/>
      <c r="V58" s="2666"/>
      <c r="X58" s="2715"/>
      <c r="Y58" s="2715"/>
      <c r="Z58" s="2715"/>
    </row>
    <row r="59" spans="1:26">
      <c r="A59" s="2656" t="s">
        <v>2617</v>
      </c>
      <c r="B59" s="2670">
        <f t="shared" si="85"/>
        <v>124.29032258064517</v>
      </c>
      <c r="C59" s="2670">
        <f t="shared" si="85"/>
        <v>123.8968609865471</v>
      </c>
      <c r="D59" s="2670">
        <f t="shared" si="55"/>
        <v>123.8968609865471</v>
      </c>
      <c r="E59" s="2670">
        <f t="shared" si="86"/>
        <v>138.00507614213197</v>
      </c>
      <c r="F59" s="2670">
        <f t="shared" si="86"/>
        <v>107.96106557377048</v>
      </c>
      <c r="G59" s="3457">
        <v>2005</v>
      </c>
      <c r="H59" s="2661">
        <v>2</v>
      </c>
      <c r="I59" s="2661">
        <v>0.47</v>
      </c>
      <c r="J59" s="2661">
        <v>0.1</v>
      </c>
      <c r="K59" s="2661">
        <v>0.52</v>
      </c>
      <c r="L59" s="2672">
        <v>0.79</v>
      </c>
      <c r="N59" s="2713">
        <f t="shared" si="83"/>
        <v>1.420065760241713E-2</v>
      </c>
      <c r="O59" s="2714">
        <f t="shared" si="83"/>
        <v>3.3080938028376083E-3</v>
      </c>
      <c r="P59" s="2714">
        <f t="shared" si="84"/>
        <v>6.598984771573603E-2</v>
      </c>
      <c r="Q59" s="2714">
        <f t="shared" si="84"/>
        <v>5.2953117818293153E-3</v>
      </c>
      <c r="R59" s="2667"/>
      <c r="S59" s="2665"/>
      <c r="T59" s="2666"/>
      <c r="U59" s="2666"/>
      <c r="V59" s="2666"/>
      <c r="X59" s="2715"/>
      <c r="Y59" s="2715"/>
      <c r="Z59" s="2715"/>
    </row>
    <row r="60" spans="1:26">
      <c r="A60" s="2656" t="s">
        <v>2618</v>
      </c>
      <c r="B60" s="2670">
        <f t="shared" si="85"/>
        <v>122.57204301075269</v>
      </c>
      <c r="C60" s="2670">
        <f t="shared" si="85"/>
        <v>123.4932735426009</v>
      </c>
      <c r="D60" s="2670">
        <f t="shared" si="55"/>
        <v>123.4932735426009</v>
      </c>
      <c r="E60" s="2670">
        <f t="shared" si="86"/>
        <v>129.82233502538071</v>
      </c>
      <c r="F60" s="2670">
        <f t="shared" si="86"/>
        <v>107.39446721311475</v>
      </c>
      <c r="G60" s="3458">
        <v>2005</v>
      </c>
      <c r="H60" s="2660">
        <v>1</v>
      </c>
      <c r="I60" s="2660">
        <v>0.43</v>
      </c>
      <c r="J60" s="2660">
        <v>0.37</v>
      </c>
      <c r="K60" s="2660">
        <v>0.37</v>
      </c>
      <c r="L60" s="2671">
        <v>0.55000000000000004</v>
      </c>
      <c r="N60" s="2716">
        <f t="shared" si="83"/>
        <v>1.2992090997956099E-2</v>
      </c>
      <c r="O60" s="2717">
        <f t="shared" si="83"/>
        <v>1.2239947070499151E-2</v>
      </c>
      <c r="P60" s="2717">
        <f t="shared" si="84"/>
        <v>4.6954314720812178E-2</v>
      </c>
      <c r="Q60" s="2717">
        <f t="shared" si="84"/>
        <v>3.6866094683621815E-3</v>
      </c>
      <c r="R60" s="2667"/>
      <c r="S60" s="2673">
        <f>B60/B61-1</f>
        <v>1.2992090997956174E-2</v>
      </c>
      <c r="T60" s="2674">
        <f>C60/C61-1</f>
        <v>1.2239947070499246E-2</v>
      </c>
      <c r="U60" s="2674">
        <f>E60/E61-1</f>
        <v>4.695431472081224E-2</v>
      </c>
      <c r="V60" s="2674">
        <f>F60/F61-1</f>
        <v>3.6866094683620787E-3</v>
      </c>
      <c r="X60" s="2715"/>
      <c r="Y60" s="2715"/>
      <c r="Z60" s="2715"/>
    </row>
    <row r="61" spans="1:26" ht="13.5" thickBot="1">
      <c r="A61" s="2656" t="s">
        <v>2619</v>
      </c>
      <c r="B61" s="2700">
        <v>121</v>
      </c>
      <c r="C61" s="2700">
        <v>122</v>
      </c>
      <c r="D61" s="2700">
        <f t="shared" si="55"/>
        <v>122</v>
      </c>
      <c r="E61" s="2700">
        <v>124</v>
      </c>
      <c r="F61" s="2701">
        <v>107</v>
      </c>
      <c r="G61" s="3456">
        <v>2004</v>
      </c>
      <c r="H61" s="2676">
        <v>4</v>
      </c>
      <c r="I61" s="2676">
        <v>0.33</v>
      </c>
      <c r="J61" s="2676">
        <v>0.5</v>
      </c>
      <c r="K61" s="2676">
        <v>0.5</v>
      </c>
      <c r="L61" s="2677">
        <v>0</v>
      </c>
      <c r="N61" s="2713">
        <f t="shared" ref="N61:O64" si="87">I61/SUM(I$61:I$64)*(B$61/B$65-1)</f>
        <v>1.3391770148526898E-2</v>
      </c>
      <c r="O61" s="2714">
        <f t="shared" si="87"/>
        <v>1.063264221158958E-2</v>
      </c>
      <c r="P61" s="2714">
        <f t="shared" ref="P61:Q64" si="88">K61/SUM(K$61:K$64)*(E$61/E$65-1)</f>
        <v>2.2244466688911134E-2</v>
      </c>
      <c r="Q61" s="2714">
        <f t="shared" si="88"/>
        <v>0</v>
      </c>
      <c r="R61" s="2667"/>
      <c r="S61" s="2668"/>
      <c r="T61" s="2669"/>
      <c r="U61" s="2669"/>
      <c r="V61" s="2669"/>
      <c r="X61" s="2715"/>
      <c r="Y61" s="2715"/>
      <c r="Z61" s="2715"/>
    </row>
    <row r="62" spans="1:26">
      <c r="A62" s="2656" t="s">
        <v>2620</v>
      </c>
      <c r="B62" s="2670">
        <f t="shared" ref="B62:C64" si="89">B63+(B$61-B$65)*I62/SUM(I$61:I$64)</f>
        <v>119.51351351351352</v>
      </c>
      <c r="C62" s="2670">
        <f t="shared" si="89"/>
        <v>120.7878787878788</v>
      </c>
      <c r="D62" s="2670">
        <f t="shared" si="55"/>
        <v>120.7878787878788</v>
      </c>
      <c r="E62" s="2670">
        <f t="shared" ref="E62:F64" si="90">E63+(E$61-E$65)*K62/SUM(K$61:K$64)</f>
        <v>121.5975975975976</v>
      </c>
      <c r="F62" s="2670">
        <f t="shared" si="90"/>
        <v>107</v>
      </c>
      <c r="G62" s="3457">
        <v>2004</v>
      </c>
      <c r="H62" s="2681">
        <v>3</v>
      </c>
      <c r="I62" s="2681">
        <v>0.56000000000000005</v>
      </c>
      <c r="J62" s="2681">
        <v>0.8</v>
      </c>
      <c r="K62" s="2681">
        <v>0.83</v>
      </c>
      <c r="L62" s="2682">
        <v>0.06</v>
      </c>
      <c r="N62" s="2713">
        <f t="shared" si="87"/>
        <v>2.2725428130833527E-2</v>
      </c>
      <c r="O62" s="2714">
        <f t="shared" si="87"/>
        <v>1.7012227538543329E-2</v>
      </c>
      <c r="P62" s="2714">
        <f t="shared" si="88"/>
        <v>3.6925814703592477E-2</v>
      </c>
      <c r="Q62" s="2714">
        <f t="shared" si="88"/>
        <v>2.8846153846153744E-2</v>
      </c>
      <c r="R62" s="2667"/>
      <c r="S62" s="2665"/>
      <c r="T62" s="2666"/>
      <c r="U62" s="2666"/>
      <c r="V62" s="2666"/>
      <c r="X62" s="2715"/>
      <c r="Y62" s="2715"/>
      <c r="Z62" s="2715"/>
    </row>
    <row r="63" spans="1:26">
      <c r="A63" s="2656" t="s">
        <v>2621</v>
      </c>
      <c r="B63" s="2670">
        <f t="shared" si="89"/>
        <v>116.99099099099099</v>
      </c>
      <c r="C63" s="2670">
        <f t="shared" si="89"/>
        <v>118.84848484848486</v>
      </c>
      <c r="D63" s="2670">
        <f t="shared" si="55"/>
        <v>118.84848484848486</v>
      </c>
      <c r="E63" s="2670">
        <f t="shared" si="90"/>
        <v>117.60960960960961</v>
      </c>
      <c r="F63" s="2670">
        <f t="shared" si="90"/>
        <v>104</v>
      </c>
      <c r="G63" s="3457">
        <v>2004</v>
      </c>
      <c r="H63" s="2661">
        <v>2</v>
      </c>
      <c r="I63" s="2661">
        <v>1</v>
      </c>
      <c r="J63" s="2661">
        <v>1.5</v>
      </c>
      <c r="K63" s="2661">
        <v>1.5</v>
      </c>
      <c r="L63" s="2672">
        <v>0</v>
      </c>
      <c r="N63" s="2713">
        <f t="shared" si="87"/>
        <v>4.0581121662202721E-2</v>
      </c>
      <c r="O63" s="2714">
        <f t="shared" si="87"/>
        <v>3.1897926634768738E-2</v>
      </c>
      <c r="P63" s="2714">
        <f t="shared" si="88"/>
        <v>6.6733400066733395E-2</v>
      </c>
      <c r="Q63" s="2714">
        <f t="shared" si="88"/>
        <v>0</v>
      </c>
      <c r="R63" s="2667"/>
      <c r="S63" s="2665"/>
      <c r="T63" s="2666"/>
      <c r="U63" s="2666"/>
      <c r="V63" s="2666"/>
      <c r="X63" s="2715"/>
      <c r="Y63" s="2715"/>
      <c r="Z63" s="2715"/>
    </row>
    <row r="64" spans="1:26" s="2706" customFormat="1" ht="13.5" thickBot="1">
      <c r="A64" s="2656" t="s">
        <v>2622</v>
      </c>
      <c r="B64" s="2703">
        <f t="shared" si="89"/>
        <v>112.48648648648648</v>
      </c>
      <c r="C64" s="2703">
        <f t="shared" si="89"/>
        <v>115.21212121212122</v>
      </c>
      <c r="D64" s="2703">
        <f t="shared" si="55"/>
        <v>115.21212121212122</v>
      </c>
      <c r="E64" s="2703">
        <f t="shared" si="90"/>
        <v>110.4024024024024</v>
      </c>
      <c r="F64" s="2703">
        <f t="shared" si="90"/>
        <v>104</v>
      </c>
      <c r="G64" s="3458">
        <v>2004</v>
      </c>
      <c r="H64" s="2704">
        <v>1</v>
      </c>
      <c r="I64" s="2704">
        <v>0.33</v>
      </c>
      <c r="J64" s="2704">
        <v>0.5</v>
      </c>
      <c r="K64" s="2704">
        <v>0.5</v>
      </c>
      <c r="L64" s="2705">
        <v>0</v>
      </c>
      <c r="N64" s="2718">
        <f t="shared" si="87"/>
        <v>1.3391770148526898E-2</v>
      </c>
      <c r="O64" s="2719">
        <f t="shared" si="87"/>
        <v>1.063264221158958E-2</v>
      </c>
      <c r="P64" s="2719">
        <f t="shared" si="88"/>
        <v>2.2244466688911134E-2</v>
      </c>
      <c r="Q64" s="2719">
        <f t="shared" si="88"/>
        <v>0</v>
      </c>
      <c r="R64" s="2709"/>
      <c r="S64" s="2707">
        <f>B64/B65-1</f>
        <v>1.3391770148526883E-2</v>
      </c>
      <c r="T64" s="2708">
        <f>C64/C65-1</f>
        <v>1.063264221158966E-2</v>
      </c>
      <c r="U64" s="2708">
        <f>E64/E65-1</f>
        <v>2.2244466688911224E-2</v>
      </c>
      <c r="V64" s="2708">
        <f>F64/F65-1</f>
        <v>0</v>
      </c>
      <c r="X64" s="2720"/>
      <c r="Y64" s="2720"/>
      <c r="Z64" s="2720"/>
    </row>
    <row r="65" spans="1:26" ht="13.5" thickBot="1">
      <c r="A65" s="2656" t="s">
        <v>2623</v>
      </c>
      <c r="B65" s="2721">
        <v>111</v>
      </c>
      <c r="C65" s="2721">
        <v>114</v>
      </c>
      <c r="D65" s="2721">
        <f t="shared" si="55"/>
        <v>114</v>
      </c>
      <c r="E65" s="2721">
        <v>108</v>
      </c>
      <c r="F65" s="2722">
        <v>104</v>
      </c>
      <c r="G65" s="3456">
        <v>2003</v>
      </c>
      <c r="H65" s="2711">
        <v>4</v>
      </c>
      <c r="I65" s="2723"/>
      <c r="J65" s="2723"/>
      <c r="K65" s="2723"/>
      <c r="L65" s="2723"/>
      <c r="N65" s="2724"/>
      <c r="O65" s="2723"/>
      <c r="P65" s="2723"/>
      <c r="Q65" s="2723"/>
      <c r="S65" s="2724"/>
      <c r="T65" s="2723"/>
      <c r="U65" s="2723"/>
      <c r="V65" s="2723"/>
      <c r="X65" s="2715"/>
      <c r="Y65" s="2715"/>
      <c r="Z65" s="2715"/>
    </row>
    <row r="66" spans="1:26">
      <c r="A66" s="2656" t="s">
        <v>2624</v>
      </c>
      <c r="B66" s="2725">
        <f t="shared" ref="B66:C68" si="91">B67+(B$65-B$69)/4</f>
        <v>109.75</v>
      </c>
      <c r="C66" s="2725">
        <f t="shared" si="91"/>
        <v>112.25</v>
      </c>
      <c r="D66" s="2725">
        <f t="shared" si="55"/>
        <v>112.25</v>
      </c>
      <c r="E66" s="2725">
        <f t="shared" ref="E66:F68" si="92">E67+(E$65-E$69)/4</f>
        <v>107.25</v>
      </c>
      <c r="F66" s="2725">
        <f t="shared" si="92"/>
        <v>103.5</v>
      </c>
      <c r="G66" s="3457">
        <v>2003</v>
      </c>
      <c r="H66" s="2681">
        <v>3</v>
      </c>
      <c r="I66" s="2723"/>
      <c r="J66" s="2723"/>
      <c r="K66" s="2723"/>
      <c r="L66" s="2723"/>
      <c r="X66" s="2715"/>
      <c r="Y66" s="2715"/>
      <c r="Z66" s="2715"/>
    </row>
    <row r="67" spans="1:26">
      <c r="A67" s="2656" t="s">
        <v>2625</v>
      </c>
      <c r="B67" s="2725">
        <f t="shared" si="91"/>
        <v>108.5</v>
      </c>
      <c r="C67" s="2725">
        <f t="shared" si="91"/>
        <v>110.5</v>
      </c>
      <c r="D67" s="2725">
        <f t="shared" si="55"/>
        <v>110.5</v>
      </c>
      <c r="E67" s="2725">
        <f t="shared" si="92"/>
        <v>106.5</v>
      </c>
      <c r="F67" s="2725">
        <f t="shared" si="92"/>
        <v>103</v>
      </c>
      <c r="G67" s="3457">
        <v>2003</v>
      </c>
      <c r="H67" s="2661">
        <v>2</v>
      </c>
      <c r="I67" s="2723"/>
      <c r="J67" s="2723"/>
      <c r="K67" s="2723"/>
      <c r="L67" s="2723"/>
      <c r="X67" s="2715"/>
      <c r="Y67" s="2715"/>
      <c r="Z67" s="2715"/>
    </row>
    <row r="68" spans="1:26" ht="13.5" thickBot="1">
      <c r="A68" s="2656" t="s">
        <v>2626</v>
      </c>
      <c r="B68" s="2725">
        <f t="shared" si="91"/>
        <v>107.25</v>
      </c>
      <c r="C68" s="2725">
        <f t="shared" si="91"/>
        <v>108.75</v>
      </c>
      <c r="D68" s="2725">
        <f t="shared" si="55"/>
        <v>108.75</v>
      </c>
      <c r="E68" s="2725">
        <f t="shared" si="92"/>
        <v>105.75</v>
      </c>
      <c r="F68" s="2725">
        <f t="shared" si="92"/>
        <v>102.5</v>
      </c>
      <c r="G68" s="3458">
        <v>2003</v>
      </c>
      <c r="H68" s="2726">
        <v>1</v>
      </c>
      <c r="I68" s="2723"/>
      <c r="J68" s="2723"/>
      <c r="K68" s="2723"/>
      <c r="L68" s="2723"/>
      <c r="S68" s="2665"/>
      <c r="T68" s="2666"/>
      <c r="U68" s="2666"/>
      <c r="X68" s="2715"/>
      <c r="Y68" s="2715"/>
      <c r="Z68" s="2715"/>
    </row>
    <row r="69" spans="1:26" ht="13.5" thickBot="1">
      <c r="A69" s="2656" t="s">
        <v>2627</v>
      </c>
      <c r="B69" s="2727">
        <v>106</v>
      </c>
      <c r="C69" s="2727">
        <v>107</v>
      </c>
      <c r="D69" s="2727">
        <f t="shared" si="55"/>
        <v>107</v>
      </c>
      <c r="E69" s="2727">
        <v>105</v>
      </c>
      <c r="F69" s="2728">
        <v>102</v>
      </c>
      <c r="G69" s="3456">
        <v>2002</v>
      </c>
      <c r="H69" s="2676">
        <v>4</v>
      </c>
      <c r="I69" s="2723"/>
      <c r="J69" s="2723"/>
      <c r="K69" s="2723"/>
      <c r="L69" s="2723"/>
      <c r="N69" s="2724"/>
      <c r="O69" s="2723"/>
      <c r="P69" s="2723"/>
      <c r="Q69" s="2723"/>
      <c r="S69" s="2724"/>
      <c r="T69" s="2723"/>
      <c r="U69" s="2723"/>
      <c r="V69" s="2723"/>
      <c r="X69" s="2715"/>
      <c r="Y69" s="2715"/>
      <c r="Z69" s="2715"/>
    </row>
    <row r="70" spans="1:26">
      <c r="A70" s="2656" t="s">
        <v>2628</v>
      </c>
      <c r="B70" s="2725">
        <f t="shared" ref="B70:C72" si="93">B71+(B$69-B$73)/4</f>
        <v>105</v>
      </c>
      <c r="C70" s="2725">
        <f t="shared" si="93"/>
        <v>106</v>
      </c>
      <c r="D70" s="2725">
        <f t="shared" si="55"/>
        <v>106</v>
      </c>
      <c r="E70" s="2725">
        <f t="shared" ref="E70:F72" si="94">E71+(E$69-E$73)/4</f>
        <v>104.5</v>
      </c>
      <c r="F70" s="2725">
        <f t="shared" si="94"/>
        <v>101.5</v>
      </c>
      <c r="G70" s="3457">
        <v>2002</v>
      </c>
      <c r="H70" s="2681">
        <v>3</v>
      </c>
      <c r="I70" s="2723"/>
      <c r="J70" s="2723"/>
      <c r="K70" s="2723"/>
      <c r="L70" s="2723"/>
      <c r="X70" s="2715"/>
      <c r="Y70" s="2715"/>
      <c r="Z70" s="2715"/>
    </row>
    <row r="71" spans="1:26">
      <c r="A71" s="2656" t="s">
        <v>2629</v>
      </c>
      <c r="B71" s="2725">
        <f t="shared" si="93"/>
        <v>104</v>
      </c>
      <c r="C71" s="2725">
        <f t="shared" si="93"/>
        <v>105</v>
      </c>
      <c r="D71" s="2725">
        <f t="shared" si="55"/>
        <v>105</v>
      </c>
      <c r="E71" s="2725">
        <f t="shared" si="94"/>
        <v>104</v>
      </c>
      <c r="F71" s="2725">
        <f t="shared" si="94"/>
        <v>101</v>
      </c>
      <c r="G71" s="3457">
        <v>2002</v>
      </c>
      <c r="H71" s="2661">
        <v>2</v>
      </c>
      <c r="I71" s="2723"/>
      <c r="J71" s="2723"/>
      <c r="K71" s="2723"/>
      <c r="L71" s="2723"/>
      <c r="X71" s="2715"/>
      <c r="Y71" s="2715"/>
      <c r="Z71" s="2715"/>
    </row>
    <row r="72" spans="1:26" s="2692" customFormat="1" ht="13.5" thickBot="1">
      <c r="A72" s="2688" t="s">
        <v>2630</v>
      </c>
      <c r="B72" s="2729">
        <f t="shared" si="93"/>
        <v>103</v>
      </c>
      <c r="C72" s="2729">
        <f t="shared" si="93"/>
        <v>104</v>
      </c>
      <c r="D72" s="2729">
        <f t="shared" si="55"/>
        <v>104</v>
      </c>
      <c r="E72" s="2729">
        <f t="shared" si="94"/>
        <v>103.5</v>
      </c>
      <c r="F72" s="2729">
        <f t="shared" si="94"/>
        <v>100.5</v>
      </c>
      <c r="G72" s="3458">
        <v>2002</v>
      </c>
      <c r="H72" s="2730">
        <v>1</v>
      </c>
      <c r="I72" s="2731"/>
      <c r="J72" s="2731"/>
      <c r="K72" s="2731"/>
      <c r="L72" s="2731"/>
      <c r="N72" s="2732"/>
      <c r="S72" s="2732"/>
      <c r="X72" s="2733"/>
      <c r="Y72" s="2733"/>
      <c r="Z72" s="2733"/>
    </row>
    <row r="73" spans="1:26" ht="13.5" thickBot="1">
      <c r="B73" s="2734">
        <v>102</v>
      </c>
      <c r="C73" s="2735">
        <v>103</v>
      </c>
      <c r="D73" s="2735">
        <f t="shared" si="55"/>
        <v>103</v>
      </c>
      <c r="E73" s="2735">
        <v>103</v>
      </c>
      <c r="F73" s="2736">
        <v>100</v>
      </c>
      <c r="I73" s="2723"/>
      <c r="J73" s="2723"/>
      <c r="K73" s="2723"/>
      <c r="L73" s="2723"/>
      <c r="N73" s="2724"/>
      <c r="O73" s="2723"/>
      <c r="P73" s="2723"/>
      <c r="Q73" s="2723"/>
      <c r="S73" s="2724"/>
      <c r="T73" s="2723"/>
      <c r="U73" s="2723"/>
      <c r="V73" s="2723"/>
      <c r="X73" s="2669"/>
      <c r="Y73" s="2669"/>
      <c r="Z73" s="2669"/>
    </row>
    <row r="75" spans="1:26" s="2738" customFormat="1">
      <c r="A75" s="2737" t="s">
        <v>2631</v>
      </c>
      <c r="G75" s="2739"/>
      <c r="N75" s="2739"/>
      <c r="S75" s="2739"/>
    </row>
    <row r="76" spans="1:26" s="2738" customFormat="1">
      <c r="A76" s="2738" t="s">
        <v>2632</v>
      </c>
      <c r="G76" s="2739"/>
      <c r="N76" s="2739"/>
      <c r="S76" s="2739"/>
    </row>
    <row r="77" spans="1:26" s="2738" customFormat="1">
      <c r="A77" s="2738" t="s">
        <v>2633</v>
      </c>
      <c r="G77" s="2739"/>
      <c r="I77" s="2740"/>
      <c r="J77" s="2740"/>
      <c r="K77" s="2740"/>
      <c r="L77" s="2740"/>
      <c r="N77" s="2741"/>
      <c r="O77" s="2740"/>
      <c r="P77" s="2740"/>
      <c r="Q77" s="2740"/>
      <c r="S77" s="2741"/>
      <c r="T77" s="2740"/>
      <c r="U77" s="2740"/>
      <c r="V77" s="2740"/>
    </row>
    <row r="78" spans="1:26" s="2738" customFormat="1">
      <c r="A78" s="2738" t="s">
        <v>2634</v>
      </c>
      <c r="G78" s="2739"/>
      <c r="N78" s="2739"/>
      <c r="S78" s="2739"/>
    </row>
    <row r="85" spans="7:22" ht="13.5" thickBot="1"/>
    <row r="86" spans="7:22">
      <c r="G86" s="2664"/>
      <c r="S86" s="2742" t="s">
        <v>2635</v>
      </c>
      <c r="T86" s="2743" t="s">
        <v>2636</v>
      </c>
      <c r="U86" s="2743" t="s">
        <v>2637</v>
      </c>
      <c r="V86" s="2743" t="s">
        <v>2638</v>
      </c>
    </row>
    <row r="87" spans="7:22">
      <c r="G87" s="2664"/>
      <c r="N87" s="2668"/>
      <c r="O87" s="2669"/>
      <c r="P87" s="2669"/>
      <c r="Q87" s="2669"/>
      <c r="S87" s="2744">
        <v>2006</v>
      </c>
      <c r="T87" s="2745">
        <v>15.1</v>
      </c>
      <c r="U87" s="2745">
        <v>7.43</v>
      </c>
      <c r="V87" s="2745">
        <v>26.26</v>
      </c>
    </row>
    <row r="88" spans="7:22">
      <c r="G88" s="2664"/>
      <c r="N88" s="2668"/>
      <c r="O88" s="2669"/>
      <c r="P88" s="2669"/>
      <c r="Q88" s="2669"/>
      <c r="S88" s="2747">
        <v>2005</v>
      </c>
      <c r="T88" s="2746">
        <v>13.9</v>
      </c>
      <c r="U88" s="2746">
        <v>7.49</v>
      </c>
      <c r="V88" s="2746">
        <v>24.92</v>
      </c>
    </row>
    <row r="89" spans="7:22">
      <c r="G89" s="2664"/>
      <c r="N89" s="2668"/>
      <c r="O89" s="2669"/>
      <c r="P89" s="2669"/>
      <c r="Q89" s="2669"/>
      <c r="S89" s="2744">
        <v>2004</v>
      </c>
      <c r="T89" s="2745">
        <v>9.48</v>
      </c>
      <c r="U89" s="2745">
        <v>7.2</v>
      </c>
      <c r="V89" s="2745">
        <v>14.68</v>
      </c>
    </row>
    <row r="90" spans="7:22">
      <c r="G90" s="2664"/>
      <c r="N90" s="2668"/>
      <c r="O90" s="2669"/>
      <c r="P90" s="2669"/>
      <c r="Q90" s="2669"/>
      <c r="S90" s="2747">
        <v>2003</v>
      </c>
      <c r="T90" s="2746">
        <v>4.5</v>
      </c>
      <c r="U90" s="2746">
        <v>6.12</v>
      </c>
      <c r="V90" s="2746">
        <v>2.34</v>
      </c>
    </row>
    <row r="91" spans="7:22" ht="13.5" thickBot="1">
      <c r="G91" s="2664"/>
      <c r="N91" s="2668"/>
      <c r="O91" s="2669"/>
      <c r="P91" s="2669"/>
      <c r="Q91" s="2669"/>
      <c r="S91" s="2748">
        <v>2002</v>
      </c>
      <c r="T91" s="2749">
        <v>3.59</v>
      </c>
      <c r="U91" s="2749">
        <v>4.54</v>
      </c>
      <c r="V91" s="2749">
        <v>2.5499999999999998</v>
      </c>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row r="107" spans="7:19">
      <c r="G107" s="2664"/>
      <c r="N107" s="2668"/>
      <c r="O107" s="2669"/>
      <c r="P107" s="2669"/>
      <c r="Q107" s="2669"/>
      <c r="S107" s="2664"/>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北京精图科工贸集团：</v>
      </c>
    </row>
    <row r="4" spans="1:4" ht="37.5">
      <c r="A4" s="1792" t="str">
        <f>"受贵公司委托，我公司对"&amp;项目基本情况!K2&amp;项目基本情况!B9&amp;"进行了预评估。"</f>
        <v>受贵公司委托，我公司对北京市丰台区西三环南路16号商务金融用地出让国有建设用地使用权出让国有建设用地使用权抵押价格进行了预评估。</v>
      </c>
    </row>
    <row r="5" spans="1:4" ht="18.75">
      <c r="A5" s="1795" t="s">
        <v>1905</v>
      </c>
    </row>
    <row r="6" spans="1:4" ht="93.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精图科工贸集团使用的、位于北京市丰台区西三环南路16号商务金融用地出让国有建设用地使用权出让国有建设用地使用权。根据《不动产权证书》[京（2017）丰不动产权第0000229号]，估价对象（分摊）出让国有建设用地使用权面积为20439.42平方米。根据《建设工程规划许可证》[]、《出让合同》[]，估价对象规划建筑面积为51512平方米。</v>
      </c>
    </row>
    <row r="7" spans="1:4" ht="56.25">
      <c r="A7" s="1796" t="s">
        <v>2746</v>
      </c>
    </row>
    <row r="8" spans="1:4" ht="18.75">
      <c r="A8" s="1795" t="s">
        <v>1906</v>
      </c>
    </row>
    <row r="9" spans="1:4" ht="56.25">
      <c r="A9" s="1797" t="str">
        <f>IF(项目基本情况!B8="抵押",IF(项目基本情况!B5=项目基本情况!B6,定义!C51,定义!B51),定义!D51)</f>
        <v>委托估价方在向金融机构（农商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2018年10月29日（评估专业人员勘察现场之日）</v>
      </c>
    </row>
    <row r="12" spans="1:4" ht="18.75">
      <c r="A12" s="1798" t="s">
        <v>2026</v>
      </c>
    </row>
    <row r="13" spans="1:4" ht="18.75">
      <c r="A13" s="1792" t="s">
        <v>2935</v>
      </c>
    </row>
    <row r="14" spans="1:4" ht="37.5">
      <c r="A14" s="1792" t="str">
        <f>"根据"&amp;项目基本情况!F12&amp;"，本次评估估价对象证载（地类）用途为"&amp;项目基本情况!B12&amp;"。"</f>
        <v>根据《不动产权证书》[京（2017）丰不动产权第0000229号]，本次评估估价对象证载（地类）用途为商务金融用地。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7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根据《不动产权证书》[京（2017）丰不动产权第0000229号]，估价对象（分摊）出让国有建设用地使用权面积为20439.42平方米。根据《建设工程规划许可证》[]、《出让合同》[]，估价对象规划建筑面积为51512平方米。</v>
      </c>
    </row>
    <row r="21" spans="1:1" ht="18.75">
      <c r="A21" s="1792" t="s">
        <v>2075</v>
      </c>
    </row>
    <row r="22" spans="1:1" ht="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2017）丰不动产权第0000229号]证载土地终止日期为住宅2087年5月21日、商业2057年5月21日、办公2067年5月21日、车库2067年5月21日。截至估价期日，出让国有建设用地使用权剩余土地使用年限为商业38.58年。</v>
      </c>
    </row>
    <row r="23" spans="1:1" ht="18.75">
      <c r="A23" s="1792" t="str">
        <f>IF(项目基本情况!B16="出让","本次评估设定估价对象剩余土地使用年限为"&amp;项目基本情况!D20&amp;"。","")</f>
        <v>本次评估设定估价对象剩余土地使用年限为商业38.58年。</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2018年10月29日，在规划利用条件下、设定土地开发程度为红线外“七通”、宗地内场地平整，设定用途为商业，剩余土地使用年限为商业38.58年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IF(项目基本情况!B9="市场价格","——",IF(项目基本情况!E9="——","",定义!C57))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J56" sqref="J56"/>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2985</v>
      </c>
      <c r="D1" s="3127" t="s">
        <v>3415</v>
      </c>
      <c r="E1" s="2388" t="s">
        <v>2374</v>
      </c>
      <c r="F1" s="2389">
        <f ca="1">J53</f>
        <v>36.58</v>
      </c>
      <c r="G1" s="774">
        <f>MATCH(C1,'数据-取费表'!A6:A16,0)+5</f>
        <v>6</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29157</v>
      </c>
      <c r="C2" s="2058"/>
      <c r="D2" s="2056"/>
      <c r="E2" s="2057"/>
      <c r="F2" s="2057"/>
      <c r="G2" s="1590"/>
      <c r="H2" s="2058"/>
      <c r="I2" s="2058"/>
      <c r="J2" s="2058"/>
      <c r="K2" s="2059"/>
      <c r="L2" s="2058"/>
      <c r="M2" s="2058"/>
    </row>
    <row r="3" spans="1:33" ht="18" customHeight="1" thickBot="1">
      <c r="A3" s="833" t="s">
        <v>1727</v>
      </c>
      <c r="B3" s="834">
        <f ca="1">IF(ISERROR(B2*10000/F43),0,ROUND(B2*10000/F43,0))</f>
        <v>47814</v>
      </c>
      <c r="C3" s="2058"/>
      <c r="D3" s="2056"/>
      <c r="E3" s="2057"/>
      <c r="F3" s="2057"/>
      <c r="G3" s="1590"/>
      <c r="H3" s="776" t="s">
        <v>695</v>
      </c>
      <c r="I3" s="1363"/>
      <c r="J3" s="1363"/>
      <c r="K3" s="1591"/>
      <c r="L3" s="1363"/>
      <c r="M3" s="1363"/>
    </row>
    <row r="4" spans="1:33" ht="18" customHeight="1">
      <c r="A4" s="777" t="s">
        <v>1728</v>
      </c>
      <c r="B4" s="778" t="s">
        <v>1729</v>
      </c>
      <c r="C4" s="778" t="s">
        <v>1730</v>
      </c>
      <c r="D4" s="778" t="s">
        <v>633</v>
      </c>
      <c r="E4" s="779" t="s">
        <v>1731</v>
      </c>
      <c r="F4" s="780"/>
      <c r="G4" s="1592"/>
      <c r="H4" s="777" t="s">
        <v>1732</v>
      </c>
      <c r="I4" s="778" t="s">
        <v>1733</v>
      </c>
      <c r="J4" s="778" t="s">
        <v>1734</v>
      </c>
      <c r="K4" s="778" t="s">
        <v>1735</v>
      </c>
      <c r="L4" s="779" t="s">
        <v>1736</v>
      </c>
      <c r="M4" s="780"/>
    </row>
    <row r="5" spans="1:33" ht="18" customHeight="1">
      <c r="A5" s="781">
        <v>1</v>
      </c>
      <c r="B5" s="782" t="s">
        <v>2458</v>
      </c>
      <c r="C5" s="55">
        <f ca="1">C6+C10+C12</f>
        <v>1605</v>
      </c>
      <c r="D5" s="2497" t="s">
        <v>2461</v>
      </c>
      <c r="E5" s="2491"/>
      <c r="F5" s="2492"/>
      <c r="G5" s="1592"/>
      <c r="H5" s="781">
        <v>1</v>
      </c>
      <c r="I5" s="782" t="s">
        <v>2458</v>
      </c>
      <c r="J5" s="55">
        <f ca="1">J6+J10+J12</f>
        <v>0</v>
      </c>
      <c r="K5" s="2497" t="s">
        <v>2461</v>
      </c>
      <c r="L5" s="2491"/>
      <c r="M5" s="2492"/>
    </row>
    <row r="6" spans="1:33" ht="18" customHeight="1">
      <c r="A6" s="1831" t="s">
        <v>1824</v>
      </c>
      <c r="B6" s="3450" t="s">
        <v>2463</v>
      </c>
      <c r="C6" s="783">
        <f ca="1">ROUND(F6*F8*F7*(1-F9)/10000,0)</f>
        <v>1603</v>
      </c>
      <c r="D6" s="2498" t="s">
        <v>2462</v>
      </c>
      <c r="E6" s="784" t="s">
        <v>1738</v>
      </c>
      <c r="F6" s="785">
        <f ca="1">INDIRECT("'数据-取费表'!u"&amp;$G$1)</f>
        <v>8</v>
      </c>
      <c r="G6" s="1592"/>
      <c r="H6" s="2505" t="s">
        <v>2468</v>
      </c>
      <c r="I6" s="3450" t="s">
        <v>2463</v>
      </c>
      <c r="J6" s="783">
        <f ca="1">ROUND(M6*M8*M7*(1-M9)/10000,0)</f>
        <v>0</v>
      </c>
      <c r="K6" s="341" t="s">
        <v>1737</v>
      </c>
      <c r="L6" s="784" t="s">
        <v>1738</v>
      </c>
      <c r="M6" s="785">
        <f ca="1">INDIRECT("'数据-取费表'!z"&amp;$G$1)</f>
        <v>0</v>
      </c>
    </row>
    <row r="7" spans="1:33" ht="18" customHeight="1">
      <c r="A7" s="2501"/>
      <c r="B7" s="3451"/>
      <c r="C7" s="788"/>
      <c r="D7" s="789"/>
      <c r="E7" s="784" t="s">
        <v>1739</v>
      </c>
      <c r="F7" s="785">
        <f ca="1">IF(INDIRECT("'数据-取费表'!ah"&amp;$G$1)="",INDIRECT("'数据-取费表'!k"&amp;$G$1),INDIRECT("'数据-取费表'!ah"&amp;$G$1))</f>
        <v>6098</v>
      </c>
      <c r="G7" s="1592"/>
      <c r="H7" s="2490"/>
      <c r="I7" s="3451"/>
      <c r="J7" s="788"/>
      <c r="K7" s="789"/>
      <c r="L7" s="784" t="s">
        <v>1739</v>
      </c>
      <c r="M7" s="785">
        <f ca="1">F7</f>
        <v>6098</v>
      </c>
    </row>
    <row r="8" spans="1:33" ht="18" customHeight="1">
      <c r="A8" s="2494"/>
      <c r="B8" s="3452"/>
      <c r="C8" s="788"/>
      <c r="D8" s="789"/>
      <c r="E8" s="784" t="s">
        <v>1740</v>
      </c>
      <c r="F8" s="785">
        <f ca="1">INDIRECT("'数据-取费表'!ai"&amp;$G$1)</f>
        <v>365</v>
      </c>
      <c r="G8" s="1592"/>
      <c r="H8" s="2490"/>
      <c r="I8" s="3452"/>
      <c r="J8" s="788"/>
      <c r="K8" s="789"/>
      <c r="L8" s="784" t="s">
        <v>1740</v>
      </c>
      <c r="M8" s="785">
        <f ca="1">INDIRECT("'数据-取费表'!ai"&amp;$G$1)</f>
        <v>365</v>
      </c>
    </row>
    <row r="9" spans="1:33" ht="18" customHeight="1">
      <c r="A9" s="786"/>
      <c r="B9" s="3453"/>
      <c r="C9" s="788"/>
      <c r="D9" s="789"/>
      <c r="E9" s="784" t="s">
        <v>1741</v>
      </c>
      <c r="F9" s="794">
        <f ca="1">INDIRECT("'数据-取费表'!w"&amp;$G$1)</f>
        <v>0.1</v>
      </c>
      <c r="G9" s="1592"/>
      <c r="H9" s="2506"/>
      <c r="I9" s="3452"/>
      <c r="J9" s="788"/>
      <c r="K9" s="789"/>
      <c r="L9" s="795" t="s">
        <v>1741</v>
      </c>
      <c r="M9" s="796">
        <f ca="1">INDIRECT("'数据-取费表'!ab"&amp;$G$1)</f>
        <v>0</v>
      </c>
    </row>
    <row r="10" spans="1:33" ht="18" customHeight="1">
      <c r="A10" s="1831" t="s">
        <v>2466</v>
      </c>
      <c r="B10" s="2495" t="s">
        <v>2459</v>
      </c>
      <c r="C10" s="799">
        <f ca="1">ROUND(IF(F10="押一",C6/12*F11,IF(F10="押二",C6/12*2*F11,IF(F10="押三",C6/12*3*F11,C11*F11))),0)</f>
        <v>2</v>
      </c>
      <c r="D10" s="2502" t="s">
        <v>2968</v>
      </c>
      <c r="E10" s="2499" t="s">
        <v>2464</v>
      </c>
      <c r="F10" s="2622" t="s">
        <v>3416</v>
      </c>
      <c r="G10" s="1592"/>
      <c r="H10" s="2562" t="s">
        <v>2469</v>
      </c>
      <c r="I10" s="2567" t="s">
        <v>2459</v>
      </c>
      <c r="J10" s="783">
        <f ca="1">ROUND(IF(M10="押一",J6/12*M11,IF(M10="押二",J6/12*2*M11,IF(M10="押三",J6/12*3*M11,J11*M11))),0)</f>
        <v>0</v>
      </c>
      <c r="K10" s="2502" t="s">
        <v>2968</v>
      </c>
      <c r="L10" s="2499" t="s">
        <v>2464</v>
      </c>
      <c r="M10" s="2622"/>
    </row>
    <row r="11" spans="1:33" ht="18" customHeight="1">
      <c r="A11" s="790"/>
      <c r="B11" s="2496" t="s">
        <v>2573</v>
      </c>
      <c r="C11" s="2500"/>
      <c r="D11" s="789"/>
      <c r="E11" s="2499" t="s">
        <v>2465</v>
      </c>
      <c r="F11" s="796">
        <f ca="1">'数据-取费表'!B39</f>
        <v>1.4999999999999999E-2</v>
      </c>
      <c r="G11" s="1592"/>
      <c r="H11" s="2563"/>
      <c r="I11" s="2496" t="s">
        <v>2573</v>
      </c>
      <c r="J11" s="2500"/>
      <c r="K11" s="2564"/>
      <c r="L11" s="2499" t="s">
        <v>2465</v>
      </c>
      <c r="M11" s="2493">
        <f ca="1">'数据-取费表'!B39</f>
        <v>1.4999999999999999E-2</v>
      </c>
    </row>
    <row r="12" spans="1:33" ht="18" customHeight="1" thickBot="1">
      <c r="A12" s="2538" t="s">
        <v>2467</v>
      </c>
      <c r="B12" s="2539" t="s">
        <v>2460</v>
      </c>
      <c r="C12" s="2540"/>
      <c r="D12" s="2541"/>
      <c r="E12" s="2542"/>
      <c r="F12" s="2543"/>
      <c r="G12" s="1592"/>
      <c r="H12" s="2552" t="s">
        <v>2470</v>
      </c>
      <c r="I12" s="2565" t="s">
        <v>2460</v>
      </c>
      <c r="J12" s="2566"/>
      <c r="K12" s="2541"/>
      <c r="L12" s="2542"/>
      <c r="M12" s="2555"/>
    </row>
    <row r="13" spans="1:33" ht="18" customHeight="1" thickTop="1">
      <c r="A13" s="1830">
        <v>2</v>
      </c>
      <c r="B13" s="1828" t="s">
        <v>1742</v>
      </c>
      <c r="C13" s="792">
        <f ca="1">ROUND(C29*F13,0)</f>
        <v>3594</v>
      </c>
      <c r="D13" s="1835" t="s">
        <v>2298</v>
      </c>
      <c r="E13" s="1835" t="s">
        <v>1744</v>
      </c>
      <c r="F13" s="2537">
        <f ca="1">INDIRECT("'数据-取费表'!y"&amp;$G$1)</f>
        <v>1</v>
      </c>
      <c r="G13" s="1592"/>
      <c r="H13" s="1830">
        <v>2</v>
      </c>
      <c r="I13" s="1828" t="s">
        <v>1742</v>
      </c>
      <c r="J13" s="1820">
        <f ca="1">ROUND(J14*J15,0)</f>
        <v>0</v>
      </c>
      <c r="K13" s="1822" t="s">
        <v>1743</v>
      </c>
      <c r="L13" s="2553"/>
      <c r="M13" s="2554"/>
    </row>
    <row r="14" spans="1:33" ht="18" customHeight="1">
      <c r="A14" s="1648" t="s">
        <v>1884</v>
      </c>
      <c r="B14" s="784" t="s">
        <v>645</v>
      </c>
      <c r="C14" s="804">
        <f ca="1">INDIRECT("'数据-取费表'!m"&amp;$G$1)+INDIRECT("'数据-取费表'!t"&amp;$G$1)</f>
        <v>2358</v>
      </c>
      <c r="D14" s="1980" t="s">
        <v>1745</v>
      </c>
      <c r="E14" s="1981"/>
      <c r="F14" s="805"/>
      <c r="G14" s="1592"/>
      <c r="H14" s="1649" t="s">
        <v>1830</v>
      </c>
      <c r="I14" s="2232" t="s">
        <v>2825</v>
      </c>
      <c r="J14" s="53">
        <f ca="1">C29</f>
        <v>3594</v>
      </c>
      <c r="K14" s="26"/>
      <c r="L14" s="801"/>
      <c r="M14" s="802"/>
    </row>
    <row r="15" spans="1:33" s="2065" customFormat="1" ht="18" customHeight="1" thickBot="1">
      <c r="A15" s="1648" t="s">
        <v>1885</v>
      </c>
      <c r="B15" s="784" t="s">
        <v>647</v>
      </c>
      <c r="C15" s="53">
        <f ca="1">ROUND(C14*F15,0)</f>
        <v>71</v>
      </c>
      <c r="D15" s="806" t="s">
        <v>1746</v>
      </c>
      <c r="E15" s="806" t="s">
        <v>1747</v>
      </c>
      <c r="F15" s="807">
        <f>'数据-取费表'!B33</f>
        <v>0.03</v>
      </c>
      <c r="G15" s="1593"/>
      <c r="H15" s="2552" t="s">
        <v>1889</v>
      </c>
      <c r="I15" s="2547" t="s">
        <v>1744</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1886</v>
      </c>
      <c r="B16" s="784" t="s">
        <v>650</v>
      </c>
      <c r="C16" s="53">
        <f ca="1">ROUND(INDIRECT("'数据-取费表'!m"&amp;$G$1)*F16,0)</f>
        <v>0</v>
      </c>
      <c r="D16" s="784" t="s">
        <v>1746</v>
      </c>
      <c r="E16" s="784" t="s">
        <v>1747</v>
      </c>
      <c r="F16" s="809">
        <f ca="1">IF(INDIRECT("'数据-取费表'!c"&amp;$G$1)="住宅",'数据-取费表'!B34,0)</f>
        <v>0</v>
      </c>
      <c r="G16" s="1592"/>
      <c r="H16" s="1830" t="s">
        <v>1748</v>
      </c>
      <c r="I16" s="1828" t="s">
        <v>1749</v>
      </c>
      <c r="J16" s="792">
        <f ca="1">ROUND(J17+J22+J23+J24,0)</f>
        <v>359</v>
      </c>
      <c r="K16" s="1822" t="s">
        <v>1750</v>
      </c>
      <c r="L16" s="2487"/>
      <c r="M16" s="2492"/>
    </row>
    <row r="17" spans="1:33" s="2065" customFormat="1" ht="18" customHeight="1">
      <c r="A17" s="1648" t="s">
        <v>1887</v>
      </c>
      <c r="B17" s="784" t="s">
        <v>653</v>
      </c>
      <c r="C17" s="53">
        <f ca="1">ROUND(F17*(F43+INDIRECT("'数据-取费表'!S"&amp;$G$1))/10000,0)</f>
        <v>140</v>
      </c>
      <c r="D17" s="784" t="s">
        <v>1751</v>
      </c>
      <c r="E17" s="784" t="s">
        <v>1752</v>
      </c>
      <c r="F17" s="56">
        <f>'数据-取费表'!B35</f>
        <v>200</v>
      </c>
      <c r="G17" s="1593"/>
      <c r="H17" s="1649" t="s">
        <v>1830</v>
      </c>
      <c r="I17" s="784" t="s">
        <v>656</v>
      </c>
      <c r="J17" s="53">
        <f ca="1">ROUND(IF(项目基本情况!B11="自然人",J5*M17,J18+J19+J20),0)</f>
        <v>305</v>
      </c>
      <c r="K17" s="2486" t="s">
        <v>1753</v>
      </c>
      <c r="L17" s="2485" t="s">
        <v>1754</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659</v>
      </c>
      <c r="C18" s="53">
        <f ca="1">ROUND(C14*F18,0)</f>
        <v>35</v>
      </c>
      <c r="D18" s="784" t="s">
        <v>1746</v>
      </c>
      <c r="E18" s="784" t="s">
        <v>1747</v>
      </c>
      <c r="F18" s="809">
        <f>'数据-取费表'!B36</f>
        <v>1.4999999999999999E-2</v>
      </c>
      <c r="G18" s="1593"/>
      <c r="H18" s="1648" t="s">
        <v>1884</v>
      </c>
      <c r="I18" s="784" t="s">
        <v>1755</v>
      </c>
      <c r="J18" s="53">
        <f ca="1">ROUND(J5*M18/1.05,1)</f>
        <v>0</v>
      </c>
      <c r="K18" s="2485" t="s">
        <v>1756</v>
      </c>
      <c r="L18" s="784" t="s">
        <v>1747</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1830</v>
      </c>
      <c r="B19" s="784" t="s">
        <v>662</v>
      </c>
      <c r="C19" s="53">
        <f ca="1">SUM(C14:C18)</f>
        <v>2604</v>
      </c>
      <c r="D19" s="261" t="s">
        <v>1757</v>
      </c>
      <c r="E19" s="1983"/>
      <c r="F19" s="56"/>
      <c r="G19" s="1592"/>
      <c r="H19" s="1648" t="s">
        <v>1885</v>
      </c>
      <c r="I19" s="784" t="s">
        <v>1758</v>
      </c>
      <c r="J19" s="53">
        <f ca="1">IF(K19="按租金收入计税",ROUND(J5*M19,1),ROUND(C29*F33*0.7,1))</f>
        <v>301.89999999999998</v>
      </c>
      <c r="K19" s="811" t="s">
        <v>665</v>
      </c>
      <c r="L19" s="784" t="s">
        <v>1747</v>
      </c>
      <c r="M19" s="809">
        <f>IF(K19="按租金收入计税",'数据-取费表'!B51,'数据-取费表'!B50)</f>
        <v>1.2E-2</v>
      </c>
    </row>
    <row r="20" spans="1:33" s="2065" customFormat="1" ht="18" customHeight="1">
      <c r="A20" s="1649" t="s">
        <v>1889</v>
      </c>
      <c r="B20" s="784" t="s">
        <v>666</v>
      </c>
      <c r="C20" s="53">
        <f ca="1">ROUND(C19*F20,0)</f>
        <v>52</v>
      </c>
      <c r="D20" s="812" t="s">
        <v>1759</v>
      </c>
      <c r="E20" s="784" t="s">
        <v>1747</v>
      </c>
      <c r="F20" s="809">
        <f>'数据-取费表'!B37</f>
        <v>0.02</v>
      </c>
      <c r="G20" s="1593"/>
      <c r="H20" s="1651" t="s">
        <v>1880</v>
      </c>
      <c r="I20" s="341" t="s">
        <v>1760</v>
      </c>
      <c r="J20" s="54">
        <f ca="1">ROUND(M20*M21/10000,0)</f>
        <v>3</v>
      </c>
      <c r="K20" s="814" t="s">
        <v>1761</v>
      </c>
      <c r="L20" s="784" t="s">
        <v>1762</v>
      </c>
      <c r="M20" s="640">
        <f>'数据-取费表'!B52</f>
        <v>12</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1763</v>
      </c>
      <c r="C21" s="53" t="s">
        <v>1764</v>
      </c>
      <c r="D21" s="812" t="s">
        <v>2299</v>
      </c>
      <c r="E21" s="784" t="s">
        <v>1765</v>
      </c>
      <c r="F21" s="809">
        <f>'数据-取费表'!B38</f>
        <v>0.02</v>
      </c>
      <c r="G21" s="1593"/>
      <c r="H21" s="2507"/>
      <c r="I21" s="793"/>
      <c r="J21" s="69"/>
      <c r="K21" s="816"/>
      <c r="L21" s="784" t="s">
        <v>1766</v>
      </c>
      <c r="M21" s="785">
        <f ca="1">INDIRECT("'数据-取费表'!r"&amp;$G$1)</f>
        <v>2775.56</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73" t="str">
        <f>IF(F23&lt;=1,"单利计息。","复利计息。")&amp;"建造成本、管理费用、销售费用产生的利息。"</f>
        <v>复利计息。建造成本、管理费用、销售费用产生的利息。</v>
      </c>
      <c r="E22" s="1983"/>
      <c r="F22" s="56"/>
      <c r="G22" s="1592"/>
      <c r="H22" s="1649" t="s">
        <v>1889</v>
      </c>
      <c r="I22" s="784" t="s">
        <v>1768</v>
      </c>
      <c r="J22" s="53">
        <f ca="1">ROUND(J14*M22,0)</f>
        <v>54</v>
      </c>
      <c r="K22" s="2485" t="s">
        <v>1769</v>
      </c>
      <c r="L22" s="784" t="s">
        <v>1747</v>
      </c>
      <c r="M22" s="817">
        <f ca="1">INDIRECT("'数据-取费表'!Ak"&amp;$G$1)</f>
        <v>1.4999999999999999E-2</v>
      </c>
    </row>
    <row r="23" spans="1:33" s="2065" customFormat="1" ht="18" customHeight="1">
      <c r="A23" s="1648" t="s">
        <v>1831</v>
      </c>
      <c r="B23" s="784" t="s">
        <v>2535</v>
      </c>
      <c r="C23" s="53">
        <f ca="1">ROUND(IF('数据-取费表'!B22&lt;=1,(C19+C20)*F24*F23/2,(C19+C20)*(POWER((1+F24),F23/2)-1)),0)</f>
        <v>126</v>
      </c>
      <c r="D23" s="2572" t="str">
        <f>IF(F23&lt;=1,"(建造成本+管理费用)×利率×(建设周期÷2)","(建造成本+管理费用)×((1+利率)^(建设周期÷2)-1)")</f>
        <v>(建造成本+管理费用)×((1+利率)^(建设周期÷2)-1)</v>
      </c>
      <c r="E23" s="784" t="s">
        <v>1770</v>
      </c>
      <c r="F23" s="640">
        <f>'数据-取费表'!B20</f>
        <v>2</v>
      </c>
      <c r="G23" s="1593"/>
      <c r="H23" s="1649" t="s">
        <v>1890</v>
      </c>
      <c r="I23" s="784" t="s">
        <v>679</v>
      </c>
      <c r="J23" s="53">
        <f ca="1">ROUND(J13*M23,0)</f>
        <v>0</v>
      </c>
      <c r="K23" s="2485" t="s">
        <v>1771</v>
      </c>
      <c r="L23" s="784" t="s">
        <v>1747</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1E-3</v>
      </c>
      <c r="D24" s="2572" t="str">
        <f>IF(F23&lt;=1,"销售费用×利率×(建设周期÷2)","销售费用×((1+利率)^(建设周期÷2)-1)")</f>
        <v>销售费用×((1+利率)^(建设周期÷2)-1)</v>
      </c>
      <c r="E24" s="784" t="s">
        <v>1773</v>
      </c>
      <c r="F24" s="819">
        <f ca="1">'数据-取费表'!B40</f>
        <v>4.7500000000000001E-2</v>
      </c>
      <c r="G24" s="1593"/>
      <c r="H24" s="2552" t="s">
        <v>1891</v>
      </c>
      <c r="I24" s="2547" t="s">
        <v>666</v>
      </c>
      <c r="J24" s="2545">
        <f ca="1">ROUND(J5*M24,0)</f>
        <v>0</v>
      </c>
      <c r="K24" s="2546" t="s">
        <v>1774</v>
      </c>
      <c r="L24" s="2547" t="s">
        <v>1747</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684</v>
      </c>
      <c r="C25" s="53"/>
      <c r="D25" s="261" t="s">
        <v>1775</v>
      </c>
      <c r="E25" s="1983"/>
      <c r="F25" s="56"/>
      <c r="G25" s="1592"/>
      <c r="H25" s="1830" t="s">
        <v>1776</v>
      </c>
      <c r="I25" s="3011" t="s">
        <v>2821</v>
      </c>
      <c r="J25" s="792">
        <f ca="1">J5-J16</f>
        <v>-359</v>
      </c>
      <c r="K25" s="2549" t="s">
        <v>1777</v>
      </c>
      <c r="L25" s="2550"/>
      <c r="M25" s="2551"/>
    </row>
    <row r="26" spans="1:33" ht="18" customHeight="1">
      <c r="A26" s="1648" t="s">
        <v>1831</v>
      </c>
      <c r="B26" s="784" t="s">
        <v>2438</v>
      </c>
      <c r="C26" s="53">
        <f ca="1">ROUND((C19+C20)*F26,0)</f>
        <v>531</v>
      </c>
      <c r="D26" s="812" t="s">
        <v>1778</v>
      </c>
      <c r="E26" s="795" t="s">
        <v>1779</v>
      </c>
      <c r="F26" s="794">
        <f ca="1">INDIRECT("'数据-取费表'!q"&amp;$G$1)</f>
        <v>0.2</v>
      </c>
      <c r="G26" s="1592"/>
      <c r="H26" s="2503" t="s">
        <v>1780</v>
      </c>
      <c r="I26" s="2233" t="s">
        <v>2826</v>
      </c>
      <c r="J26" s="783">
        <f ca="1">IF(J5&lt;&gt;0,ROUND(J25*(1-((1+M28)/(1+M26))^M27)/(M26-M28),0),0)</f>
        <v>0</v>
      </c>
      <c r="K26" s="814" t="s">
        <v>1781</v>
      </c>
      <c r="L26" s="784" t="s">
        <v>2419</v>
      </c>
      <c r="M26" s="794">
        <f ca="1">INDIRECT("'数据-取费表'!I"&amp;$G$1)</f>
        <v>5.5E-2</v>
      </c>
    </row>
    <row r="27" spans="1:33" ht="18" customHeight="1">
      <c r="A27" s="1648" t="s">
        <v>1832</v>
      </c>
      <c r="B27" s="784" t="s">
        <v>686</v>
      </c>
      <c r="C27" s="53">
        <f ca="1">ROUND(F21*F26,4)</f>
        <v>4.0000000000000001E-3</v>
      </c>
      <c r="D27" s="812" t="s">
        <v>1782</v>
      </c>
      <c r="E27" s="806"/>
      <c r="F27" s="807"/>
      <c r="G27" s="1592"/>
      <c r="H27" s="2504"/>
      <c r="I27" s="787"/>
      <c r="J27" s="788"/>
      <c r="K27" s="821" t="s">
        <v>1783</v>
      </c>
      <c r="L27" s="784" t="s">
        <v>1784</v>
      </c>
      <c r="M27" s="822">
        <f ca="1">INDIRECT("'数据-取费表'!ag"&amp;$G$1)</f>
        <v>0</v>
      </c>
    </row>
    <row r="28" spans="1:33" s="2065" customFormat="1" ht="18" customHeight="1">
      <c r="A28" s="1650" t="s">
        <v>1841</v>
      </c>
      <c r="B28" s="784" t="s">
        <v>687</v>
      </c>
      <c r="C28" s="53">
        <f>ROUND(F28/(1+'数据-取费表'!C42),4)</f>
        <v>5.33E-2</v>
      </c>
      <c r="D28" s="812" t="s">
        <v>2300</v>
      </c>
      <c r="E28" s="784" t="s">
        <v>1785</v>
      </c>
      <c r="F28" s="809">
        <f>'数据-取费表'!B41</f>
        <v>5.6000000000000001E-2</v>
      </c>
      <c r="G28" s="1593"/>
      <c r="H28" s="1830"/>
      <c r="I28" s="791"/>
      <c r="J28" s="792"/>
      <c r="K28" s="816"/>
      <c r="L28" s="784" t="s">
        <v>1786</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1892</v>
      </c>
      <c r="B29" s="2542" t="s">
        <v>2301</v>
      </c>
      <c r="C29" s="2545">
        <f ca="1">ROUND((C19+C20+C23+C26)/(1-F21-C24-C27-C28),0)</f>
        <v>3594</v>
      </c>
      <c r="D29" s="2546"/>
      <c r="E29" s="2547"/>
      <c r="F29" s="2548"/>
      <c r="G29" s="1593"/>
      <c r="H29" s="823" t="s">
        <v>1787</v>
      </c>
      <c r="I29" s="824" t="s">
        <v>1788</v>
      </c>
      <c r="J29" s="825">
        <f ca="1">ROUND(J26/(1+F40)^F41,0)</f>
        <v>0</v>
      </c>
      <c r="K29" s="826" t="s">
        <v>1789</v>
      </c>
      <c r="L29" s="827"/>
      <c r="M29" s="828">
        <f ca="1">INDIRECT("'数据-取费表'!k"&amp;$G$1)</f>
        <v>6098</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1893</v>
      </c>
      <c r="B30" s="1828" t="s">
        <v>1790</v>
      </c>
      <c r="C30" s="792">
        <f ca="1">ROUND(C31+C36+C37+C38,0)</f>
        <v>357</v>
      </c>
      <c r="D30" s="1822" t="s">
        <v>1791</v>
      </c>
      <c r="E30" s="2487"/>
      <c r="F30" s="2492"/>
      <c r="G30" s="2063"/>
      <c r="H30" s="2066"/>
      <c r="I30" s="2067"/>
      <c r="J30" s="2068"/>
      <c r="K30" s="2069"/>
      <c r="L30" s="2070"/>
      <c r="M30" s="2071"/>
    </row>
    <row r="31" spans="1:33" ht="18" customHeight="1">
      <c r="A31" s="1649" t="s">
        <v>1830</v>
      </c>
      <c r="B31" s="784" t="s">
        <v>656</v>
      </c>
      <c r="C31" s="53">
        <f ca="1">ROUND(IF(项目基本情况!B11="自然人",C5*F31,C32+C33+C34),1)</f>
        <v>281.5</v>
      </c>
      <c r="D31" s="1980" t="s">
        <v>1792</v>
      </c>
      <c r="E31" s="1978" t="s">
        <v>1793</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1831</v>
      </c>
      <c r="B32" s="784" t="s">
        <v>1794</v>
      </c>
      <c r="C32" s="53">
        <f ca="1">ROUND(C5*F32/1.05,1)</f>
        <v>85.6</v>
      </c>
      <c r="D32" s="1978" t="s">
        <v>1795</v>
      </c>
      <c r="E32" s="784" t="s">
        <v>1796</v>
      </c>
      <c r="F32" s="809">
        <f>'数据-取费表'!B41</f>
        <v>5.6000000000000001E-2</v>
      </c>
      <c r="G32" s="2063"/>
      <c r="H32" s="2072"/>
      <c r="I32" s="2073"/>
      <c r="J32" s="2074"/>
      <c r="K32" s="2075"/>
      <c r="L32" s="2076"/>
      <c r="M32" s="2077"/>
    </row>
    <row r="33" spans="1:18" ht="18" customHeight="1">
      <c r="A33" s="1648" t="s">
        <v>1832</v>
      </c>
      <c r="B33" s="784" t="s">
        <v>1797</v>
      </c>
      <c r="C33" s="53">
        <f ca="1">IF(D33="按租金收入计税",ROUND(C5*F33,1),IF(D33="按房产原值计税",ROUND(C29*F33*0.7,1),INDIRECT("'数据-取费表'!Aj"&amp;$G$1)))</f>
        <v>192.6</v>
      </c>
      <c r="D33" s="811" t="s">
        <v>3417</v>
      </c>
      <c r="E33" s="784" t="s">
        <v>1796</v>
      </c>
      <c r="F33" s="809">
        <f>IF(D33="按租金收入计税",'数据-取费表'!B51,'数据-取费表'!B50)</f>
        <v>0.12</v>
      </c>
      <c r="G33" s="2063"/>
      <c r="H33" s="2078"/>
      <c r="I33" s="2078"/>
      <c r="J33" s="2078"/>
      <c r="K33" s="2079"/>
      <c r="L33" s="2078"/>
      <c r="M33" s="2078"/>
    </row>
    <row r="34" spans="1:18" ht="18" customHeight="1">
      <c r="A34" s="1651" t="s">
        <v>1833</v>
      </c>
      <c r="B34" s="341" t="s">
        <v>1798</v>
      </c>
      <c r="C34" s="54">
        <f ca="1">ROUND(F34*F35/10000,1)</f>
        <v>3.3</v>
      </c>
      <c r="D34" s="814" t="s">
        <v>1799</v>
      </c>
      <c r="E34" s="784" t="s">
        <v>1800</v>
      </c>
      <c r="F34" s="640">
        <f>'数据-取费表'!B52</f>
        <v>12</v>
      </c>
      <c r="G34" s="2063"/>
      <c r="H34" s="2066"/>
      <c r="I34" s="835" t="s">
        <v>1813</v>
      </c>
      <c r="J34" s="836"/>
      <c r="K34" s="2081"/>
      <c r="L34" s="2080"/>
      <c r="M34" s="2080"/>
    </row>
    <row r="35" spans="1:18" ht="18" customHeight="1">
      <c r="A35" s="815"/>
      <c r="B35" s="793"/>
      <c r="C35" s="69"/>
      <c r="D35" s="816"/>
      <c r="E35" s="784" t="s">
        <v>1801</v>
      </c>
      <c r="F35" s="785">
        <f ca="1">INDIRECT("'数据-取费表'!r"&amp;$G$1)</f>
        <v>2775.56</v>
      </c>
      <c r="G35" s="2063"/>
      <c r="H35" s="2066"/>
      <c r="I35" s="837" t="s">
        <v>1814</v>
      </c>
      <c r="J35" s="838">
        <f ca="1">ROUND(C13*J36,0)</f>
        <v>0</v>
      </c>
      <c r="K35" s="2079"/>
      <c r="L35" s="2078"/>
      <c r="M35" s="2078"/>
    </row>
    <row r="36" spans="1:18" ht="18" customHeight="1">
      <c r="A36" s="1649" t="s">
        <v>1889</v>
      </c>
      <c r="B36" s="784" t="s">
        <v>1802</v>
      </c>
      <c r="C36" s="53">
        <f ca="1">ROUND(C29*F36,1)</f>
        <v>53.9</v>
      </c>
      <c r="D36" s="1978" t="s">
        <v>1803</v>
      </c>
      <c r="E36" s="784" t="s">
        <v>1796</v>
      </c>
      <c r="F36" s="817">
        <f ca="1">INDIRECT("'数据-取费表'!Ak"&amp;$G$1)</f>
        <v>1.4999999999999999E-2</v>
      </c>
      <c r="G36" s="2063"/>
      <c r="H36" s="2078"/>
      <c r="I36" s="839" t="s">
        <v>1815</v>
      </c>
      <c r="J36" s="840">
        <f ca="1">INDIRECT("'数据-取费表'!j"&amp;$G$1)</f>
        <v>0</v>
      </c>
      <c r="K36" s="2083"/>
      <c r="L36" s="2078"/>
      <c r="M36" s="2078"/>
    </row>
    <row r="37" spans="1:18" ht="18" customHeight="1">
      <c r="A37" s="1649" t="s">
        <v>1890</v>
      </c>
      <c r="B37" s="784" t="s">
        <v>679</v>
      </c>
      <c r="C37" s="53">
        <f ca="1">ROUND(C13*F37,1)</f>
        <v>5.4</v>
      </c>
      <c r="D37" s="1978" t="s">
        <v>1804</v>
      </c>
      <c r="E37" s="784" t="s">
        <v>1796</v>
      </c>
      <c r="F37" s="818">
        <f ca="1">INDIRECT("'数据-取费表'!Al"&amp;$G$1)</f>
        <v>1.5E-3</v>
      </c>
      <c r="G37" s="2063"/>
      <c r="H37" s="2078"/>
      <c r="I37" s="841" t="s">
        <v>1816</v>
      </c>
      <c r="J37" s="842"/>
      <c r="K37" s="2083"/>
      <c r="L37" s="2078"/>
      <c r="M37" s="2078"/>
    </row>
    <row r="38" spans="1:18" ht="18" customHeight="1" thickBot="1">
      <c r="A38" s="2552" t="s">
        <v>1891</v>
      </c>
      <c r="B38" s="2547" t="s">
        <v>666</v>
      </c>
      <c r="C38" s="2545">
        <f ca="1">ROUND(C5*F38,1)</f>
        <v>16.100000000000001</v>
      </c>
      <c r="D38" s="2546" t="s">
        <v>1805</v>
      </c>
      <c r="E38" s="2547" t="s">
        <v>1796</v>
      </c>
      <c r="F38" s="2543">
        <f ca="1">INDIRECT("'数据-取费表'!Am"&amp;$G$1)</f>
        <v>0.01</v>
      </c>
      <c r="G38" s="2063"/>
      <c r="H38" s="2078"/>
      <c r="I38" s="843" t="s">
        <v>1817</v>
      </c>
      <c r="J38" s="844"/>
      <c r="K38" s="2084"/>
      <c r="L38" s="2078"/>
      <c r="M38" s="2078"/>
    </row>
    <row r="39" spans="1:18" ht="24.6" customHeight="1" thickTop="1">
      <c r="A39" s="1830" t="s">
        <v>1894</v>
      </c>
      <c r="B39" s="3011" t="s">
        <v>2821</v>
      </c>
      <c r="C39" s="792">
        <f ca="1">C5-C30</f>
        <v>1248</v>
      </c>
      <c r="D39" s="2549" t="s">
        <v>1806</v>
      </c>
      <c r="E39" s="2550"/>
      <c r="F39" s="2551"/>
      <c r="G39" s="2063"/>
      <c r="H39" s="2078"/>
      <c r="I39" s="837" t="s">
        <v>1818</v>
      </c>
      <c r="J39" s="845">
        <f ca="1">ROUND(J35/C39,3)</f>
        <v>0</v>
      </c>
      <c r="K39" s="2084"/>
      <c r="L39" s="2078"/>
      <c r="M39" s="2078"/>
    </row>
    <row r="40" spans="1:18" ht="18" customHeight="1">
      <c r="A40" s="781" t="s">
        <v>1895</v>
      </c>
      <c r="B40" s="2233" t="s">
        <v>2302</v>
      </c>
      <c r="C40" s="783">
        <f ca="1">ROUND(C39*(1-((1+F42)/(1+F40))^F41)/(F40-F42),0)</f>
        <v>29157</v>
      </c>
      <c r="D40" s="814" t="s">
        <v>1807</v>
      </c>
      <c r="E40" s="784" t="s">
        <v>2419</v>
      </c>
      <c r="F40" s="794">
        <f ca="1">INDIRECT("'数据-取费表'!I"&amp;$G$1)</f>
        <v>5.5E-2</v>
      </c>
      <c r="G40" s="2063"/>
      <c r="H40" s="2063"/>
      <c r="I40" s="837" t="s">
        <v>1819</v>
      </c>
      <c r="J40" s="845">
        <f ca="1">1-J39</f>
        <v>1</v>
      </c>
      <c r="K40" s="2084"/>
      <c r="L40" s="2063"/>
      <c r="M40" s="2063"/>
    </row>
    <row r="41" spans="1:18" ht="18" customHeight="1">
      <c r="A41" s="786"/>
      <c r="B41" s="787"/>
      <c r="C41" s="788"/>
      <c r="D41" s="821" t="s">
        <v>1808</v>
      </c>
      <c r="E41" s="784" t="s">
        <v>2958</v>
      </c>
      <c r="F41" s="822">
        <f ca="1">IF(INDIRECT("'数据-取费表'!af"&amp;$G$1)=0,INDIRECT("'数据-取费表'!ae"&amp;$G$1),INDIRECT("'数据-取费表'!af"&amp;$G$1))</f>
        <v>36.58</v>
      </c>
      <c r="G41" s="2063"/>
      <c r="H41" s="1989"/>
      <c r="I41" s="843" t="s">
        <v>1820</v>
      </c>
      <c r="J41" s="846"/>
      <c r="K41" s="2083"/>
      <c r="L41" s="1989"/>
      <c r="M41" s="1989"/>
    </row>
    <row r="42" spans="1:18" ht="18" customHeight="1">
      <c r="A42" s="790"/>
      <c r="B42" s="791"/>
      <c r="C42" s="792"/>
      <c r="D42" s="816"/>
      <c r="E42" s="784" t="s">
        <v>1809</v>
      </c>
      <c r="F42" s="794">
        <f ca="1">INDIRECT("'数据-取费表'!v"&amp;$G$1)</f>
        <v>0.03</v>
      </c>
      <c r="G42" s="2063"/>
      <c r="H42" s="1989"/>
      <c r="I42" s="847" t="s">
        <v>1821</v>
      </c>
      <c r="J42" s="845">
        <f ca="1">ROUND(C13/C40,3)</f>
        <v>0.123</v>
      </c>
      <c r="K42" s="2083"/>
      <c r="L42" s="1989"/>
      <c r="M42" s="1989"/>
    </row>
    <row r="43" spans="1:18" ht="18" customHeight="1" thickBot="1">
      <c r="A43" s="823" t="s">
        <v>1787</v>
      </c>
      <c r="B43" s="824" t="s">
        <v>1810</v>
      </c>
      <c r="C43" s="825">
        <f ca="1">ROUND(C40*10000/F43,0)</f>
        <v>47814</v>
      </c>
      <c r="D43" s="826" t="s">
        <v>1811</v>
      </c>
      <c r="E43" s="827" t="s">
        <v>1812</v>
      </c>
      <c r="F43" s="828">
        <f ca="1">INDIRECT("'数据-取费表'!k"&amp;$G$1)</f>
        <v>6098</v>
      </c>
      <c r="G43" s="2063"/>
      <c r="H43" s="1989"/>
      <c r="I43" s="847" t="s">
        <v>1822</v>
      </c>
      <c r="J43" s="848">
        <f ca="1">1-J42</f>
        <v>0.877</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75">
        <f ca="1">C67-C40</f>
        <v>-30141</v>
      </c>
      <c r="D46" s="2086"/>
      <c r="E46" s="2086"/>
      <c r="F46" s="2086"/>
      <c r="I46" s="2379" t="s">
        <v>2343</v>
      </c>
      <c r="J46" s="2380"/>
      <c r="K46" s="2381"/>
      <c r="L46" s="3162">
        <f>IF(OR(M47="住宅",D1="土地（套用方法）"),0,IF(L48&gt;J51,L60,J60))</f>
        <v>0</v>
      </c>
      <c r="O46" s="2395" t="s">
        <v>2410</v>
      </c>
      <c r="P46" s="1592"/>
      <c r="Q46" s="1604"/>
      <c r="R46" s="1592"/>
    </row>
    <row r="47" spans="1:18" s="2060" customFormat="1" ht="18" customHeight="1" thickBot="1">
      <c r="A47" s="2373">
        <v>1</v>
      </c>
      <c r="B47" s="2374" t="s">
        <v>635</v>
      </c>
      <c r="C47" s="2575">
        <f ca="1">C48+C52+C54</f>
        <v>0</v>
      </c>
      <c r="D47" s="2086"/>
      <c r="E47" s="2086"/>
      <c r="F47" s="2086"/>
      <c r="I47" s="3152" t="s">
        <v>2344</v>
      </c>
      <c r="J47" s="2382" t="s">
        <v>3418</v>
      </c>
      <c r="K47" s="3159" t="s">
        <v>2349</v>
      </c>
      <c r="L47" s="3163">
        <f ca="1">INDIRECT("'数据-取费表'!d"&amp;$G$1)</f>
        <v>40</v>
      </c>
      <c r="M47" s="1604" t="str">
        <f>IF(ISNUMBER(FIND("住宅",C1)),"住宅","非住宅")</f>
        <v>非住宅</v>
      </c>
      <c r="O47" s="2396" t="s">
        <v>2375</v>
      </c>
      <c r="P47" s="2397" t="s">
        <v>2376</v>
      </c>
      <c r="Q47" s="2398" t="s">
        <v>2377</v>
      </c>
      <c r="R47" s="2397" t="s">
        <v>2378</v>
      </c>
    </row>
    <row r="48" spans="1:18" s="2060" customFormat="1" ht="18" customHeight="1" thickBot="1">
      <c r="A48" s="2643" t="s">
        <v>2537</v>
      </c>
      <c r="B48" s="2644" t="s">
        <v>2538</v>
      </c>
      <c r="C48" s="2375">
        <f ca="1">ROUND(F48*F50*F49*(1-F51)/10000,0)</f>
        <v>0</v>
      </c>
      <c r="D48" s="2376" t="s">
        <v>636</v>
      </c>
      <c r="E48" s="2377" t="s">
        <v>2297</v>
      </c>
      <c r="F48" s="2378"/>
      <c r="G48" s="2091"/>
      <c r="I48" s="3128" t="s">
        <v>2345</v>
      </c>
      <c r="J48" s="2383" t="s">
        <v>2350</v>
      </c>
      <c r="K48" s="3160" t="s">
        <v>2351</v>
      </c>
      <c r="L48" s="1909">
        <f ca="1">INDIRECT("'数据-取费表'!f"&amp;$G$1)</f>
        <v>38.58</v>
      </c>
      <c r="O48" s="2399" t="s">
        <v>2379</v>
      </c>
      <c r="P48" s="2400" t="s">
        <v>2405</v>
      </c>
      <c r="Q48" s="2401">
        <f ca="1">C40+J29</f>
        <v>29157</v>
      </c>
      <c r="R48" s="2400" t="s">
        <v>2380</v>
      </c>
    </row>
    <row r="49" spans="1:18" s="2060" customFormat="1" ht="18" customHeight="1" thickBot="1">
      <c r="A49" s="786"/>
      <c r="B49" s="787"/>
      <c r="C49" s="788"/>
      <c r="D49" s="789"/>
      <c r="E49" s="784" t="s">
        <v>1739</v>
      </c>
      <c r="F49" s="785">
        <f ca="1">F7</f>
        <v>6098</v>
      </c>
      <c r="G49" s="2091"/>
      <c r="H49" s="2094"/>
      <c r="I49" s="3128" t="s">
        <v>2346</v>
      </c>
      <c r="J49" s="2384">
        <v>2020</v>
      </c>
      <c r="K49" s="3161" t="s">
        <v>2352</v>
      </c>
      <c r="L49" s="2385"/>
      <c r="O49" s="2399" t="s">
        <v>2381</v>
      </c>
      <c r="P49" s="2400" t="s">
        <v>2406</v>
      </c>
      <c r="Q49" s="2401">
        <f ca="1">J60</f>
        <v>1438</v>
      </c>
      <c r="R49" s="2400" t="s">
        <v>2382</v>
      </c>
    </row>
    <row r="50" spans="1:18" s="2060" customFormat="1" ht="18" customHeight="1" thickBot="1">
      <c r="A50" s="786"/>
      <c r="B50" s="787"/>
      <c r="C50" s="788"/>
      <c r="D50" s="789"/>
      <c r="E50" s="784" t="s">
        <v>1740</v>
      </c>
      <c r="F50" s="785">
        <f ca="1">F8</f>
        <v>365</v>
      </c>
      <c r="G50" s="2096"/>
      <c r="H50" s="2094"/>
      <c r="I50" s="3128" t="s">
        <v>2347</v>
      </c>
      <c r="J50" s="3156">
        <f>SUMPRODUCT((I63:I65=J47)*(J62:L62=J48)*(J63:L65))</f>
        <v>60</v>
      </c>
      <c r="K50" s="3161" t="s">
        <v>2353</v>
      </c>
      <c r="L50" s="2385"/>
      <c r="O50" s="2402" t="s">
        <v>2383</v>
      </c>
      <c r="P50" s="2400" t="s">
        <v>2407</v>
      </c>
      <c r="Q50" s="2401">
        <f ca="1">C29</f>
        <v>3594</v>
      </c>
      <c r="R50" s="2400" t="s">
        <v>2380</v>
      </c>
    </row>
    <row r="51" spans="1:18" s="2060" customFormat="1" ht="18" customHeight="1" thickBot="1">
      <c r="A51" s="786"/>
      <c r="B51" s="787"/>
      <c r="C51" s="788"/>
      <c r="D51" s="789"/>
      <c r="E51" s="784" t="s">
        <v>640</v>
      </c>
      <c r="F51" s="2372"/>
      <c r="H51" s="2094"/>
      <c r="I51" s="3153" t="s">
        <v>2348</v>
      </c>
      <c r="J51" s="3157">
        <f>IF(J49="",J50,J49+J50-YEAR('数据-取费表'!B2))</f>
        <v>62</v>
      </c>
      <c r="K51" s="3128" t="s">
        <v>2354</v>
      </c>
      <c r="L51" s="3164">
        <f ca="1">ROUND(-PV(INDIRECT("'数据-取费表'!h"&amp;$G$1),L48,(C39-C13*J36),0),0)</f>
        <v>21160</v>
      </c>
      <c r="O51" s="2402" t="s">
        <v>2384</v>
      </c>
      <c r="P51" s="2400" t="s">
        <v>2385</v>
      </c>
      <c r="Q51" s="2403">
        <f ca="1">J58</f>
        <v>0.4</v>
      </c>
      <c r="R51" s="2404"/>
    </row>
    <row r="52" spans="1:18" s="2060" customFormat="1" ht="18" customHeight="1" thickBot="1">
      <c r="A52" s="781" t="s">
        <v>2536</v>
      </c>
      <c r="B52" s="2495" t="s">
        <v>2459</v>
      </c>
      <c r="C52" s="799">
        <f ca="1">ROUND(IF(F52="押一",C48/12*F11,IF(F52="押二",C48/12*2*F11,IF(F52="押三",C48/12*3*F11,C53*F11))),0)</f>
        <v>0</v>
      </c>
      <c r="D52" s="2502" t="s">
        <v>2969</v>
      </c>
      <c r="E52" s="2499" t="s">
        <v>2464</v>
      </c>
      <c r="F52" s="2622"/>
      <c r="I52" s="3154" t="s">
        <v>2421</v>
      </c>
      <c r="J52" s="2386"/>
      <c r="K52" s="3154" t="s">
        <v>2420</v>
      </c>
      <c r="L52" s="2386"/>
      <c r="O52" s="2402" t="s">
        <v>2386</v>
      </c>
      <c r="P52" s="2400" t="s">
        <v>2387</v>
      </c>
      <c r="Q52" s="2403">
        <f>J52</f>
        <v>0</v>
      </c>
      <c r="R52" s="2404"/>
    </row>
    <row r="53" spans="1:18" s="2060" customFormat="1" ht="39.75" customHeight="1" thickBot="1">
      <c r="A53" s="786"/>
      <c r="B53" s="2496" t="s">
        <v>2573</v>
      </c>
      <c r="C53" s="2500"/>
      <c r="D53" s="2502"/>
      <c r="E53" s="2499"/>
      <c r="F53" s="800"/>
      <c r="I53" s="3155" t="s">
        <v>2973</v>
      </c>
      <c r="J53" s="3158">
        <f ca="1">IF(M47="住宅",IF(D1="——",MAX(J51,L48),MAX(J51,L48-'数据-取费表'!B20)),IF(D1="——",MIN(J51,L48),MIN(J51,L48-'数据-取费表'!B20)))</f>
        <v>36.58</v>
      </c>
      <c r="K53" s="3466" t="s">
        <v>2960</v>
      </c>
      <c r="L53" s="3467"/>
      <c r="O53" s="2402" t="s">
        <v>2388</v>
      </c>
      <c r="P53" s="2400" t="s">
        <v>2389</v>
      </c>
      <c r="Q53" s="2401">
        <f ca="1">J53</f>
        <v>36.58</v>
      </c>
      <c r="R53" s="2400" t="s">
        <v>2390</v>
      </c>
    </row>
    <row r="54" spans="1:18" s="2060" customFormat="1" ht="18" customHeight="1" thickBot="1">
      <c r="A54" s="2538" t="s">
        <v>2467</v>
      </c>
      <c r="B54" s="2539" t="s">
        <v>2460</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2391</v>
      </c>
      <c r="P54" s="2400" t="s">
        <v>2408</v>
      </c>
      <c r="Q54" s="2401">
        <f ca="1">Q48+Q49</f>
        <v>30595</v>
      </c>
      <c r="R54" s="2404" t="s">
        <v>2392</v>
      </c>
    </row>
    <row r="55" spans="1:18" s="2060" customFormat="1" ht="18" customHeight="1" thickTop="1" thickBot="1">
      <c r="A55" s="797">
        <v>2</v>
      </c>
      <c r="B55" s="798" t="s">
        <v>644</v>
      </c>
      <c r="C55" s="799">
        <f ca="1">C13</f>
        <v>3594</v>
      </c>
      <c r="D55" s="795"/>
      <c r="E55" s="795"/>
      <c r="F55" s="800"/>
      <c r="I55" s="3167" t="s">
        <v>2355</v>
      </c>
      <c r="J55" s="3103">
        <f ca="1">ROUND(IF(J47="钢混",J57/J50,1-(1-2%)*(J50-J57)/J50),3)</f>
        <v>0.39</v>
      </c>
      <c r="K55" s="3168" t="s">
        <v>2356</v>
      </c>
      <c r="L55" s="2387"/>
      <c r="O55" s="2405" t="s">
        <v>2411</v>
      </c>
      <c r="P55" s="1592"/>
      <c r="Q55" s="1604"/>
      <c r="R55" s="1592"/>
    </row>
    <row r="56" spans="1:18" s="2060" customFormat="1" ht="42.75" customHeight="1" thickBot="1">
      <c r="A56" s="1650"/>
      <c r="B56" s="2232" t="s">
        <v>2303</v>
      </c>
      <c r="C56" s="53">
        <f ca="1">C29</f>
        <v>3594</v>
      </c>
      <c r="D56" s="2640"/>
      <c r="E56" s="784"/>
      <c r="F56" s="809"/>
      <c r="I56" s="3169" t="s">
        <v>2357</v>
      </c>
      <c r="J56" s="3179" t="s">
        <v>2994</v>
      </c>
      <c r="K56" s="3128" t="s">
        <v>2362</v>
      </c>
      <c r="L56" s="1909" t="str">
        <f ca="1">IF(L48&lt;J51,"——",L48-J51)</f>
        <v>——</v>
      </c>
      <c r="O56" s="2396" t="s">
        <v>2375</v>
      </c>
      <c r="P56" s="2397" t="s">
        <v>2376</v>
      </c>
      <c r="Q56" s="2398" t="s">
        <v>2377</v>
      </c>
      <c r="R56" s="2397" t="s">
        <v>2378</v>
      </c>
    </row>
    <row r="57" spans="1:18" s="2060" customFormat="1" ht="28.5" customHeight="1" thickBot="1">
      <c r="A57" s="797" t="s">
        <v>1748</v>
      </c>
      <c r="B57" s="798" t="s">
        <v>651</v>
      </c>
      <c r="C57" s="799">
        <f ca="1">ROUND(C58+C63+C64+C65,0)</f>
        <v>63</v>
      </c>
      <c r="D57" s="26" t="s">
        <v>1750</v>
      </c>
      <c r="E57" s="2641"/>
      <c r="F57" s="56"/>
      <c r="I57" s="3170" t="s">
        <v>2358</v>
      </c>
      <c r="J57" s="3171">
        <f ca="1">IF(OR(M47="住宅",J51&lt;L48,J56="是"),"——",J51-L48)</f>
        <v>23.42</v>
      </c>
      <c r="K57" s="3128" t="s">
        <v>2363</v>
      </c>
      <c r="L57" s="1909" t="str">
        <f ca="1">IF(L48&lt;J51,"——",IF(L55="比较法",L49,IF(L55="基准地价",L50,L51)))</f>
        <v>——</v>
      </c>
      <c r="O57" s="2399" t="s">
        <v>2379</v>
      </c>
      <c r="P57" s="2400" t="s">
        <v>2409</v>
      </c>
      <c r="Q57" s="2401">
        <f ca="1">C40+J29</f>
        <v>29157</v>
      </c>
      <c r="R57" s="2400" t="s">
        <v>2380</v>
      </c>
    </row>
    <row r="58" spans="1:18" s="2060" customFormat="1" ht="28.5" customHeight="1" thickBot="1">
      <c r="A58" s="1649" t="s">
        <v>1824</v>
      </c>
      <c r="B58" s="784" t="s">
        <v>656</v>
      </c>
      <c r="C58" s="53">
        <f ca="1">ROUND(IF(项目基本情况!B11="自然人",C47*F58,C59+C60+C61),1)</f>
        <v>3.3</v>
      </c>
      <c r="D58" s="2639" t="s">
        <v>657</v>
      </c>
      <c r="E58" s="2640" t="s">
        <v>690</v>
      </c>
      <c r="F58" s="810" t="str">
        <f ca="1">IF(项目基本情况!B11="企业","",IF(INDIRECT("'数据-取费表'!c"&amp;$G$1)="住宅",5%,IF(F48*F49*F50/12/(1+'数据-取费表'!C42)&gt;20000,12%,7%)))</f>
        <v/>
      </c>
      <c r="I58" s="3170" t="s">
        <v>2359</v>
      </c>
      <c r="J58" s="3104">
        <f ca="1">IF(J55&lt;0.4,0.4,J55)</f>
        <v>0.4</v>
      </c>
      <c r="K58" s="3128" t="s">
        <v>2364</v>
      </c>
      <c r="L58" s="1909" t="e">
        <f ca="1">ROUND(POWER(1+L52,L47-L48)*(POWER(1+L52,L48)-1)/(POWER(1+L52,L47)-1),4)</f>
        <v>#DIV/0!</v>
      </c>
      <c r="O58" s="2399" t="s">
        <v>2381</v>
      </c>
      <c r="P58" s="2400" t="s">
        <v>2412</v>
      </c>
      <c r="Q58" s="2401">
        <f ca="1">L60</f>
        <v>0</v>
      </c>
      <c r="R58" s="2404" t="s">
        <v>2414</v>
      </c>
    </row>
    <row r="59" spans="1:18" s="2060" customFormat="1" ht="28.5" customHeight="1" thickBot="1">
      <c r="A59" s="1648" t="s">
        <v>1831</v>
      </c>
      <c r="B59" s="784" t="s">
        <v>660</v>
      </c>
      <c r="C59" s="53">
        <f ca="1">ROUND(C47*F59/1.05,1)</f>
        <v>0</v>
      </c>
      <c r="D59" s="2640" t="s">
        <v>1756</v>
      </c>
      <c r="E59" s="784" t="s">
        <v>1747</v>
      </c>
      <c r="F59" s="809">
        <f t="shared" ref="F59:F65" si="0">F32</f>
        <v>5.6000000000000001E-2</v>
      </c>
      <c r="I59" s="3170" t="s">
        <v>2360</v>
      </c>
      <c r="J59" s="3171">
        <f ca="1">IF(OR(M47="住宅",J51&lt;L48,J56="是"),"——",ROUND(C29*J58,0))</f>
        <v>1438</v>
      </c>
      <c r="K59" s="3128"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2383</v>
      </c>
      <c r="P59" s="2400" t="s">
        <v>2413</v>
      </c>
      <c r="Q59" s="2401">
        <f>IF(L55="比较法",L49,IF(L55="基准地价",L50,0))</f>
        <v>0</v>
      </c>
      <c r="R59" s="2400" t="s">
        <v>2380</v>
      </c>
    </row>
    <row r="60" spans="1:18" s="2060" customFormat="1" ht="18" customHeight="1" thickBot="1">
      <c r="A60" s="1648" t="s">
        <v>1832</v>
      </c>
      <c r="B60" s="784" t="s">
        <v>1758</v>
      </c>
      <c r="C60" s="53">
        <f ca="1">IF(D60="按租金收入计税",ROUND(C47*F60,1),IF(D60="按房产原值计税",ROUND(C56*F60*0.7,1),INDIRECT("'数据-取费表'!Aj"&amp;$G$1)))</f>
        <v>0</v>
      </c>
      <c r="D60" s="2640" t="str">
        <f>D33</f>
        <v>按租金收入计税</v>
      </c>
      <c r="E60" s="784" t="s">
        <v>1747</v>
      </c>
      <c r="F60" s="809">
        <f t="shared" si="0"/>
        <v>0.12</v>
      </c>
      <c r="I60" s="3172" t="s">
        <v>2361</v>
      </c>
      <c r="J60" s="3173">
        <f ca="1">IF(OR(M47="住宅",J51&lt;L48,J56="是"),"0",ROUND(J59/(1+J52)^J53,0))</f>
        <v>1438</v>
      </c>
      <c r="K60" s="3174" t="s">
        <v>2366</v>
      </c>
      <c r="L60" s="3173">
        <f ca="1">IF(OR(M47="住宅",L48&lt;J51),0,ROUND(L57*(L58/L59-1),0))</f>
        <v>0</v>
      </c>
      <c r="O60" s="2402" t="s">
        <v>2384</v>
      </c>
      <c r="P60" s="2400" t="s">
        <v>2393</v>
      </c>
      <c r="Q60" s="2403">
        <f>L52</f>
        <v>0</v>
      </c>
      <c r="R60" s="2404"/>
    </row>
    <row r="61" spans="1:18" s="2060" customFormat="1" ht="18" customHeight="1" thickBot="1">
      <c r="A61" s="1651" t="s">
        <v>1833</v>
      </c>
      <c r="B61" s="341" t="s">
        <v>668</v>
      </c>
      <c r="C61" s="54">
        <f ca="1">ROUND(F61*F62/10000,1)</f>
        <v>3.3</v>
      </c>
      <c r="D61" s="814" t="s">
        <v>669</v>
      </c>
      <c r="E61" s="784" t="s">
        <v>670</v>
      </c>
      <c r="F61" s="640">
        <f t="shared" si="0"/>
        <v>12</v>
      </c>
      <c r="K61" s="2087"/>
      <c r="O61" s="2402" t="s">
        <v>2386</v>
      </c>
      <c r="P61" s="2400" t="s">
        <v>2394</v>
      </c>
      <c r="Q61" s="2401" t="e">
        <f ca="1">L58</f>
        <v>#DIV/0!</v>
      </c>
      <c r="R61" s="2404" t="s">
        <v>2395</v>
      </c>
    </row>
    <row r="62" spans="1:18" s="2060" customFormat="1" ht="15.75" thickBot="1">
      <c r="A62" s="815"/>
      <c r="B62" s="793"/>
      <c r="C62" s="69"/>
      <c r="D62" s="816"/>
      <c r="E62" s="784" t="s">
        <v>674</v>
      </c>
      <c r="F62" s="785">
        <f t="shared" ca="1" si="0"/>
        <v>2775.56</v>
      </c>
      <c r="I62" s="3175" t="s">
        <v>2367</v>
      </c>
      <c r="J62" s="3176" t="s">
        <v>2368</v>
      </c>
      <c r="K62" s="3176" t="s">
        <v>2369</v>
      </c>
      <c r="L62" s="3176" t="s">
        <v>2350</v>
      </c>
      <c r="M62" s="3177" t="s">
        <v>2936</v>
      </c>
      <c r="O62" s="2402" t="s">
        <v>2388</v>
      </c>
      <c r="P62" s="2400" t="str">
        <f>K59</f>
        <v>建设期及建筑物耐用年限下的土地年期修正系数Kn</v>
      </c>
      <c r="Q62" s="2401" t="e">
        <f ca="1">L59</f>
        <v>#DIV/0!</v>
      </c>
      <c r="R62" s="2404" t="s">
        <v>2397</v>
      </c>
    </row>
    <row r="63" spans="1:18" s="2060" customFormat="1" ht="15.75" thickBot="1">
      <c r="A63" s="1649" t="s">
        <v>1889</v>
      </c>
      <c r="B63" s="784" t="s">
        <v>676</v>
      </c>
      <c r="C63" s="53">
        <f ca="1">ROUND(C56*F63,1)</f>
        <v>53.9</v>
      </c>
      <c r="D63" s="2640" t="s">
        <v>1803</v>
      </c>
      <c r="E63" s="784" t="s">
        <v>1747</v>
      </c>
      <c r="F63" s="817">
        <f t="shared" ca="1" si="0"/>
        <v>1.4999999999999999E-2</v>
      </c>
      <c r="I63" s="3175" t="s">
        <v>2370</v>
      </c>
      <c r="J63" s="3176">
        <v>70</v>
      </c>
      <c r="K63" s="3176">
        <v>50</v>
      </c>
      <c r="L63" s="3176">
        <v>80</v>
      </c>
      <c r="M63" s="3178">
        <v>0.02</v>
      </c>
      <c r="O63" s="2399" t="s">
        <v>2391</v>
      </c>
      <c r="P63" s="2400" t="s">
        <v>2408</v>
      </c>
      <c r="Q63" s="2401">
        <f ca="1">Q57+Q58</f>
        <v>29157</v>
      </c>
      <c r="R63" s="2404" t="s">
        <v>2392</v>
      </c>
    </row>
    <row r="64" spans="1:18" s="2060" customFormat="1" ht="16.5" thickBot="1">
      <c r="A64" s="1649" t="s">
        <v>1890</v>
      </c>
      <c r="B64" s="784" t="s">
        <v>679</v>
      </c>
      <c r="C64" s="53">
        <f ca="1">ROUND(C55*F64,1)</f>
        <v>5.4</v>
      </c>
      <c r="D64" s="2640" t="s">
        <v>680</v>
      </c>
      <c r="E64" s="784" t="s">
        <v>1747</v>
      </c>
      <c r="F64" s="818">
        <f t="shared" ca="1" si="0"/>
        <v>1.5E-3</v>
      </c>
      <c r="I64" s="3175" t="s">
        <v>2371</v>
      </c>
      <c r="J64" s="3176">
        <v>50</v>
      </c>
      <c r="K64" s="3176">
        <v>35</v>
      </c>
      <c r="L64" s="3176">
        <v>60</v>
      </c>
      <c r="M64" s="846">
        <v>0</v>
      </c>
      <c r="O64" s="2405" t="s">
        <v>2415</v>
      </c>
      <c r="P64" s="1592"/>
      <c r="Q64" s="1604"/>
      <c r="R64" s="1592"/>
    </row>
    <row r="65" spans="1:18" s="2060" customFormat="1" ht="15.75" thickBot="1">
      <c r="A65" s="1649" t="s">
        <v>1891</v>
      </c>
      <c r="B65" s="784" t="s">
        <v>666</v>
      </c>
      <c r="C65" s="53">
        <f ca="1">ROUND(C47*F65,1)</f>
        <v>0</v>
      </c>
      <c r="D65" s="2640" t="s">
        <v>683</v>
      </c>
      <c r="E65" s="784" t="s">
        <v>1747</v>
      </c>
      <c r="F65" s="794">
        <f t="shared" ca="1" si="0"/>
        <v>0.01</v>
      </c>
      <c r="I65" s="3175" t="s">
        <v>2372</v>
      </c>
      <c r="J65" s="3176">
        <v>40</v>
      </c>
      <c r="K65" s="3176">
        <v>30</v>
      </c>
      <c r="L65" s="3176">
        <v>50</v>
      </c>
      <c r="M65" s="3178">
        <v>0.02</v>
      </c>
      <c r="O65" s="2396" t="s">
        <v>2375</v>
      </c>
      <c r="P65" s="2397" t="s">
        <v>2376</v>
      </c>
      <c r="Q65" s="2398" t="s">
        <v>2377</v>
      </c>
      <c r="R65" s="2397" t="s">
        <v>2378</v>
      </c>
    </row>
    <row r="66" spans="1:18" s="2060" customFormat="1" ht="24.75" thickBot="1">
      <c r="A66" s="797" t="s">
        <v>1776</v>
      </c>
      <c r="B66" s="3012" t="s">
        <v>2821</v>
      </c>
      <c r="C66" s="799">
        <f ca="1">C47-C57</f>
        <v>-63</v>
      </c>
      <c r="D66" s="2639" t="s">
        <v>700</v>
      </c>
      <c r="E66" s="2638"/>
      <c r="F66" s="820"/>
      <c r="K66" s="2087"/>
      <c r="O66" s="2399" t="s">
        <v>2379</v>
      </c>
      <c r="P66" s="2400" t="s">
        <v>2409</v>
      </c>
      <c r="Q66" s="2401">
        <f ca="1">C40+J29</f>
        <v>29157</v>
      </c>
      <c r="R66" s="2400" t="s">
        <v>2380</v>
      </c>
    </row>
    <row r="67" spans="1:18" s="2060" customFormat="1" ht="20.25" thickBot="1">
      <c r="A67" s="781" t="s">
        <v>1780</v>
      </c>
      <c r="B67" s="2233" t="s">
        <v>2302</v>
      </c>
      <c r="C67" s="783">
        <f ca="1">ROUND(C66*(1-((1+F69)/(1+F67))^F68)/(F67-F69),0)</f>
        <v>-984</v>
      </c>
      <c r="D67" s="814" t="s">
        <v>704</v>
      </c>
      <c r="E67" s="784" t="s">
        <v>705</v>
      </c>
      <c r="F67" s="794">
        <f ca="1">F40</f>
        <v>5.5E-2</v>
      </c>
      <c r="K67" s="2087"/>
      <c r="O67" s="2399" t="s">
        <v>2381</v>
      </c>
      <c r="P67" s="2400" t="s">
        <v>2412</v>
      </c>
      <c r="Q67" s="2401">
        <f ca="1">L60</f>
        <v>0</v>
      </c>
      <c r="R67" s="2404" t="s">
        <v>2414</v>
      </c>
    </row>
    <row r="68" spans="1:18" ht="21.75" thickBot="1">
      <c r="A68" s="786"/>
      <c r="B68" s="787"/>
      <c r="C68" s="788"/>
      <c r="D68" s="821" t="s">
        <v>1808</v>
      </c>
      <c r="E68" s="784" t="s">
        <v>1784</v>
      </c>
      <c r="F68" s="822">
        <f ca="1">F41</f>
        <v>36.58</v>
      </c>
      <c r="O68" s="2402" t="s">
        <v>2383</v>
      </c>
      <c r="P68" s="2400" t="s">
        <v>2413</v>
      </c>
      <c r="Q68" s="2406">
        <f ca="1">L51</f>
        <v>21160</v>
      </c>
      <c r="R68" s="2407" t="s">
        <v>2416</v>
      </c>
    </row>
    <row r="69" spans="1:18" ht="20.25" thickBot="1">
      <c r="A69" s="790"/>
      <c r="B69" s="791"/>
      <c r="C69" s="792"/>
      <c r="D69" s="816"/>
      <c r="E69" s="784" t="s">
        <v>710</v>
      </c>
      <c r="F69" s="2372"/>
      <c r="O69" s="2402" t="s">
        <v>2384</v>
      </c>
      <c r="P69" s="2408" t="s">
        <v>2398</v>
      </c>
      <c r="Q69" s="2401">
        <f ca="1">ROUND(Q70-Q71*Q72,0)</f>
        <v>1248</v>
      </c>
      <c r="R69" s="2404"/>
    </row>
    <row r="70" spans="1:18" ht="15.75" thickBot="1">
      <c r="A70" s="823" t="s">
        <v>1787</v>
      </c>
      <c r="B70" s="824" t="s">
        <v>1810</v>
      </c>
      <c r="C70" s="825">
        <f ca="1">ROUND(C67*10000/F70,0)</f>
        <v>-1614</v>
      </c>
      <c r="D70" s="826" t="s">
        <v>1811</v>
      </c>
      <c r="E70" s="827" t="s">
        <v>1812</v>
      </c>
      <c r="F70" s="828">
        <f ca="1">F43</f>
        <v>6098</v>
      </c>
      <c r="O70" s="2402" t="s">
        <v>2399</v>
      </c>
      <c r="P70" s="2408" t="s">
        <v>2400</v>
      </c>
      <c r="Q70" s="2401">
        <f ca="1">C39</f>
        <v>1248</v>
      </c>
      <c r="R70" s="2400" t="s">
        <v>2380</v>
      </c>
    </row>
    <row r="71" spans="1:18" ht="15.75" thickBot="1">
      <c r="O71" s="2402" t="s">
        <v>2401</v>
      </c>
      <c r="P71" s="2408" t="s">
        <v>2402</v>
      </c>
      <c r="Q71" s="2401">
        <f ca="1">C13</f>
        <v>3594</v>
      </c>
      <c r="R71" s="2400" t="s">
        <v>2380</v>
      </c>
    </row>
    <row r="72" spans="1:18" ht="15.75" thickBot="1">
      <c r="O72" s="2402" t="s">
        <v>2403</v>
      </c>
      <c r="P72" s="2408" t="s">
        <v>2404</v>
      </c>
      <c r="Q72" s="2403">
        <f ca="1">J36</f>
        <v>0</v>
      </c>
      <c r="R72" s="2404"/>
    </row>
    <row r="73" spans="1:18" ht="15.75" thickBot="1">
      <c r="O73" s="2402" t="s">
        <v>2386</v>
      </c>
      <c r="P73" s="2400" t="s">
        <v>2393</v>
      </c>
      <c r="Q73" s="2403">
        <f>L52</f>
        <v>0</v>
      </c>
      <c r="R73" s="2404"/>
    </row>
    <row r="74" spans="1:18" ht="20.25" thickBot="1">
      <c r="O74" s="2402" t="s">
        <v>2388</v>
      </c>
      <c r="P74" s="2400" t="s">
        <v>2394</v>
      </c>
      <c r="Q74" s="2401" t="e">
        <f ca="1">L58</f>
        <v>#DIV/0!</v>
      </c>
      <c r="R74" s="2404" t="s">
        <v>2395</v>
      </c>
    </row>
    <row r="75" spans="1:18" ht="15.75" thickBot="1">
      <c r="O75" s="2402" t="s">
        <v>2417</v>
      </c>
      <c r="P75" s="2400" t="str">
        <f>K59</f>
        <v>建设期及建筑物耐用年限下的土地年期修正系数Kn</v>
      </c>
      <c r="Q75" s="2401" t="e">
        <f ca="1">L59</f>
        <v>#DIV/0!</v>
      </c>
      <c r="R75" s="2404" t="s">
        <v>2397</v>
      </c>
    </row>
    <row r="76" spans="1:18" ht="15.75" thickBot="1">
      <c r="O76" s="2399" t="s">
        <v>2391</v>
      </c>
      <c r="P76" s="2400" t="s">
        <v>2408</v>
      </c>
      <c r="Q76" s="2401">
        <f ca="1">Q66+Q67</f>
        <v>29157</v>
      </c>
      <c r="R76" s="2404"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32" priority="7">
      <formula>$L$48&gt;$J$51</formula>
    </cfRule>
  </conditionalFormatting>
  <conditionalFormatting sqref="I55">
    <cfRule type="expression" dxfId="131" priority="8">
      <formula>$J$51&gt;$L$48</formula>
    </cfRule>
  </conditionalFormatting>
  <conditionalFormatting sqref="I60">
    <cfRule type="expression" dxfId="130" priority="6">
      <formula>$J$51&gt;$L$48</formula>
    </cfRule>
  </conditionalFormatting>
  <conditionalFormatting sqref="K60">
    <cfRule type="expression" dxfId="129" priority="5">
      <formula>$L$48&gt;$J$51</formula>
    </cfRule>
  </conditionalFormatting>
  <conditionalFormatting sqref="C11">
    <cfRule type="expression" dxfId="128" priority="4">
      <formula>$F$10="自定义"</formula>
    </cfRule>
  </conditionalFormatting>
  <conditionalFormatting sqref="J11">
    <cfRule type="expression" dxfId="127" priority="2">
      <formula>$M$10="自定义"</formula>
    </cfRule>
  </conditionalFormatting>
  <conditionalFormatting sqref="C53">
    <cfRule type="expression" dxfId="12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8" t="s">
        <v>2471</v>
      </c>
      <c r="B1" s="3469"/>
      <c r="C1" s="3470"/>
      <c r="D1" s="3471">
        <f>SUM(I10,I15,I20,I21,I23)</f>
        <v>0</v>
      </c>
      <c r="E1" s="3471"/>
      <c r="F1" s="3471"/>
      <c r="G1" s="3471"/>
      <c r="H1" s="3471"/>
      <c r="I1" s="3472"/>
    </row>
    <row r="2" spans="1:9">
      <c r="A2" s="3473" t="s">
        <v>2472</v>
      </c>
      <c r="B2" s="3474" t="s">
        <v>2473</v>
      </c>
      <c r="C2" s="3474"/>
      <c r="D2" s="2508" t="s">
        <v>2474</v>
      </c>
      <c r="E2" s="2508" t="s">
        <v>2475</v>
      </c>
      <c r="F2" s="2508" t="s">
        <v>2476</v>
      </c>
      <c r="G2" s="2508" t="s">
        <v>2477</v>
      </c>
      <c r="H2" s="2508" t="s">
        <v>2478</v>
      </c>
      <c r="I2" s="2509" t="s">
        <v>2479</v>
      </c>
    </row>
    <row r="3" spans="1:9">
      <c r="A3" s="3473"/>
      <c r="B3" s="3474" t="s">
        <v>2480</v>
      </c>
      <c r="C3" s="3474"/>
      <c r="D3" s="2510"/>
      <c r="E3" s="2508"/>
      <c r="F3" s="2511"/>
      <c r="G3" s="2511"/>
      <c r="H3" s="2512"/>
      <c r="I3" s="2513">
        <f>ROUND(D3*E3*F3*G3*H3/10000,0)</f>
        <v>0</v>
      </c>
    </row>
    <row r="4" spans="1:9">
      <c r="A4" s="3473"/>
      <c r="B4" s="3474" t="s">
        <v>2481</v>
      </c>
      <c r="C4" s="3474"/>
      <c r="D4" s="2510"/>
      <c r="E4" s="2508"/>
      <c r="F4" s="2511"/>
      <c r="G4" s="2511"/>
      <c r="H4" s="2512"/>
      <c r="I4" s="2513">
        <f t="shared" ref="I4:I9" si="0">ROUND(D4*E4*F4*G4*H4/10000,0)</f>
        <v>0</v>
      </c>
    </row>
    <row r="5" spans="1:9">
      <c r="A5" s="3473"/>
      <c r="B5" s="3474" t="s">
        <v>2482</v>
      </c>
      <c r="C5" s="3474"/>
      <c r="D5" s="2510"/>
      <c r="E5" s="2508"/>
      <c r="F5" s="2511"/>
      <c r="G5" s="2511"/>
      <c r="H5" s="2512"/>
      <c r="I5" s="2513">
        <f t="shared" si="0"/>
        <v>0</v>
      </c>
    </row>
    <row r="6" spans="1:9">
      <c r="A6" s="3473"/>
      <c r="B6" s="3474" t="s">
        <v>2483</v>
      </c>
      <c r="C6" s="3474"/>
      <c r="D6" s="2510"/>
      <c r="E6" s="2508"/>
      <c r="F6" s="2511"/>
      <c r="G6" s="2511"/>
      <c r="H6" s="2512"/>
      <c r="I6" s="2513">
        <f t="shared" si="0"/>
        <v>0</v>
      </c>
    </row>
    <row r="7" spans="1:9">
      <c r="A7" s="3473"/>
      <c r="B7" s="3474" t="s">
        <v>2484</v>
      </c>
      <c r="C7" s="3474"/>
      <c r="D7" s="2510"/>
      <c r="E7" s="2508"/>
      <c r="F7" s="2511"/>
      <c r="G7" s="2511"/>
      <c r="H7" s="2512"/>
      <c r="I7" s="2513">
        <f t="shared" si="0"/>
        <v>0</v>
      </c>
    </row>
    <row r="8" spans="1:9">
      <c r="A8" s="3473"/>
      <c r="B8" s="3474" t="s">
        <v>2485</v>
      </c>
      <c r="C8" s="3474"/>
      <c r="D8" s="2510"/>
      <c r="E8" s="2508"/>
      <c r="F8" s="2511"/>
      <c r="G8" s="2511"/>
      <c r="H8" s="2512"/>
      <c r="I8" s="2513">
        <f t="shared" si="0"/>
        <v>0</v>
      </c>
    </row>
    <row r="9" spans="1:9">
      <c r="A9" s="3473"/>
      <c r="B9" s="3474" t="s">
        <v>2486</v>
      </c>
      <c r="C9" s="3474"/>
      <c r="D9" s="2510"/>
      <c r="E9" s="2508"/>
      <c r="F9" s="2511"/>
      <c r="G9" s="2511"/>
      <c r="H9" s="2512"/>
      <c r="I9" s="2513">
        <f t="shared" si="0"/>
        <v>0</v>
      </c>
    </row>
    <row r="10" spans="1:9">
      <c r="A10" s="3473"/>
      <c r="B10" s="3475" t="s">
        <v>2487</v>
      </c>
      <c r="C10" s="3475"/>
      <c r="D10" s="2514">
        <v>527</v>
      </c>
      <c r="E10" s="2514" t="e">
        <f>ROUND(D1*10000/D10/H9,0)</f>
        <v>#DIV/0!</v>
      </c>
      <c r="F10" s="2515"/>
      <c r="G10" s="2515"/>
      <c r="H10" s="2516"/>
      <c r="I10" s="2517">
        <f>SUM(I3:I9)</f>
        <v>0</v>
      </c>
    </row>
    <row r="11" spans="1:9" ht="14.25">
      <c r="A11" s="3473" t="s">
        <v>2488</v>
      </c>
      <c r="B11" s="3474" t="s">
        <v>2489</v>
      </c>
      <c r="C11" s="3474"/>
      <c r="D11" s="2510" t="s">
        <v>2490</v>
      </c>
      <c r="E11" s="2510" t="s">
        <v>2491</v>
      </c>
      <c r="F11" s="2511" t="s">
        <v>2492</v>
      </c>
      <c r="G11" s="2511" t="s">
        <v>2493</v>
      </c>
      <c r="H11" s="2518" t="s">
        <v>2494</v>
      </c>
      <c r="I11" s="2509" t="s">
        <v>2495</v>
      </c>
    </row>
    <row r="12" spans="1:9">
      <c r="A12" s="3473"/>
      <c r="B12" s="3474" t="s">
        <v>2496</v>
      </c>
      <c r="C12" s="3474"/>
      <c r="D12" s="2510"/>
      <c r="E12" s="2510"/>
      <c r="F12" s="2511"/>
      <c r="G12" s="2512"/>
      <c r="H12" s="2519"/>
      <c r="I12" s="2509">
        <f>ROUND(D12*E12*F12*G12/10000,0)</f>
        <v>0</v>
      </c>
    </row>
    <row r="13" spans="1:9">
      <c r="A13" s="3473"/>
      <c r="B13" s="3474" t="s">
        <v>2497</v>
      </c>
      <c r="C13" s="3474"/>
      <c r="D13" s="2510"/>
      <c r="E13" s="2510"/>
      <c r="F13" s="2511"/>
      <c r="G13" s="2512"/>
      <c r="H13" s="2519"/>
      <c r="I13" s="2509">
        <f>ROUND(D13*E13*F13*G13/10000,0)</f>
        <v>0</v>
      </c>
    </row>
    <row r="14" spans="1:9">
      <c r="A14" s="3473"/>
      <c r="B14" s="3474" t="s">
        <v>2498</v>
      </c>
      <c r="C14" s="3474"/>
      <c r="D14" s="2510"/>
      <c r="E14" s="2510"/>
      <c r="F14" s="2511"/>
      <c r="G14" s="2512"/>
      <c r="H14" s="2519"/>
      <c r="I14" s="2509">
        <f>ROUND(D14*E14*F14*G14/10000,0)</f>
        <v>0</v>
      </c>
    </row>
    <row r="15" spans="1:9">
      <c r="A15" s="3473"/>
      <c r="B15" s="3475" t="s">
        <v>2487</v>
      </c>
      <c r="C15" s="3475"/>
      <c r="D15" s="2514"/>
      <c r="E15" s="2514">
        <f>SUM(E12:E14)</f>
        <v>0</v>
      </c>
      <c r="F15" s="2515"/>
      <c r="G15" s="2512"/>
      <c r="H15" s="2519"/>
      <c r="I15" s="2520">
        <f>SUM(I12:I14)</f>
        <v>0</v>
      </c>
    </row>
    <row r="16" spans="1:9" ht="24">
      <c r="A16" s="3473" t="s">
        <v>2499</v>
      </c>
      <c r="B16" s="3474" t="s">
        <v>2500</v>
      </c>
      <c r="C16" s="3474"/>
      <c r="D16" s="2510" t="s">
        <v>2501</v>
      </c>
      <c r="E16" s="2521" t="s">
        <v>2502</v>
      </c>
      <c r="F16" s="2511" t="s">
        <v>2503</v>
      </c>
      <c r="G16" s="2512" t="s">
        <v>2493</v>
      </c>
      <c r="H16" s="2518" t="s">
        <v>2494</v>
      </c>
      <c r="I16" s="2509" t="s">
        <v>2495</v>
      </c>
    </row>
    <row r="17" spans="1:9" ht="14.25">
      <c r="A17" s="3473"/>
      <c r="B17" s="3474" t="s">
        <v>2504</v>
      </c>
      <c r="C17" s="3474"/>
      <c r="D17" s="2510"/>
      <c r="E17" s="2510"/>
      <c r="F17" s="2511"/>
      <c r="G17" s="2512"/>
      <c r="H17" s="2522"/>
      <c r="I17" s="2523">
        <f>ROUND(D17*E17*F17*G17/10000,0)</f>
        <v>0</v>
      </c>
    </row>
    <row r="18" spans="1:9" ht="14.25">
      <c r="A18" s="3473"/>
      <c r="B18" s="3474" t="s">
        <v>2505</v>
      </c>
      <c r="C18" s="3474"/>
      <c r="D18" s="2510"/>
      <c r="E18" s="2510"/>
      <c r="F18" s="2511"/>
      <c r="G18" s="2512"/>
      <c r="H18" s="2522"/>
      <c r="I18" s="2523">
        <f>ROUND(D18*E18*F18*G18/10000,0)</f>
        <v>0</v>
      </c>
    </row>
    <row r="19" spans="1:9" ht="14.25">
      <c r="A19" s="3473"/>
      <c r="B19" s="3474" t="s">
        <v>2506</v>
      </c>
      <c r="C19" s="3474"/>
      <c r="D19" s="2510"/>
      <c r="E19" s="2510"/>
      <c r="F19" s="2511"/>
      <c r="G19" s="2512"/>
      <c r="H19" s="2522"/>
      <c r="I19" s="2523">
        <f>ROUND(D19*E19*F19*G19/10000,0)</f>
        <v>0</v>
      </c>
    </row>
    <row r="20" spans="1:9">
      <c r="A20" s="3473"/>
      <c r="B20" s="3475" t="s">
        <v>2487</v>
      </c>
      <c r="C20" s="3475"/>
      <c r="D20" s="2514">
        <f>SUM(D17:D19)</f>
        <v>0</v>
      </c>
      <c r="E20" s="2514"/>
      <c r="F20" s="2515"/>
      <c r="G20" s="2512"/>
      <c r="H20" s="2519"/>
      <c r="I20" s="2520">
        <f>SUM(I17:I19)</f>
        <v>0</v>
      </c>
    </row>
    <row r="21" spans="1:9">
      <c r="A21" s="3473" t="s">
        <v>2507</v>
      </c>
      <c r="B21" s="3477"/>
      <c r="C21" s="3477"/>
      <c r="D21" s="3477"/>
      <c r="E21" s="3477"/>
      <c r="F21" s="3477"/>
      <c r="G21" s="3477"/>
      <c r="H21" s="2524">
        <v>0.1</v>
      </c>
      <c r="I21" s="2517">
        <f>ROUND(I10*H21,0)</f>
        <v>0</v>
      </c>
    </row>
    <row r="22" spans="1:9" ht="14.25">
      <c r="A22" s="3478" t="s">
        <v>2508</v>
      </c>
      <c r="B22" s="3479"/>
      <c r="C22" s="3480"/>
      <c r="D22" s="2525" t="s">
        <v>2509</v>
      </c>
      <c r="E22" s="2525" t="s">
        <v>2510</v>
      </c>
      <c r="F22" s="2526" t="s">
        <v>2511</v>
      </c>
      <c r="G22" s="2526" t="s">
        <v>2512</v>
      </c>
      <c r="H22" s="2518" t="s">
        <v>2513</v>
      </c>
      <c r="I22" s="2509" t="s">
        <v>2514</v>
      </c>
    </row>
    <row r="23" spans="1:9" ht="14.25" thickBot="1">
      <c r="A23" s="3481"/>
      <c r="B23" s="3482"/>
      <c r="C23" s="3483"/>
      <c r="D23" s="2527"/>
      <c r="E23" s="2527"/>
      <c r="F23" s="2527"/>
      <c r="G23" s="2528"/>
      <c r="H23" s="2529"/>
      <c r="I23" s="2530">
        <f>ROUND(E23*D23*F23*(1-G23)/10000,0)</f>
        <v>0</v>
      </c>
    </row>
    <row r="26" spans="1:9">
      <c r="A26" s="2531" t="s">
        <v>2515</v>
      </c>
      <c r="B26" s="2531"/>
      <c r="C26" s="2531"/>
      <c r="D26" s="2531"/>
      <c r="E26" s="3484">
        <f>C27-C30-C31-C32</f>
        <v>0</v>
      </c>
      <c r="F26" s="3484"/>
      <c r="G26" s="3484"/>
      <c r="H26" s="3045" t="s">
        <v>2842</v>
      </c>
    </row>
    <row r="27" spans="1:9">
      <c r="A27" s="2532">
        <v>1</v>
      </c>
      <c r="B27" s="2533" t="s">
        <v>2516</v>
      </c>
      <c r="C27" s="2533"/>
      <c r="D27" s="2533"/>
      <c r="E27" s="3485"/>
      <c r="F27" s="3485"/>
      <c r="G27" s="3485"/>
    </row>
    <row r="28" spans="1:9">
      <c r="A28" s="2534" t="s">
        <v>2517</v>
      </c>
      <c r="B28" s="2533" t="s">
        <v>2518</v>
      </c>
      <c r="C28" s="2533"/>
      <c r="D28" s="2533"/>
      <c r="E28" s="3485"/>
      <c r="F28" s="3485"/>
      <c r="G28" s="3485"/>
    </row>
    <row r="29" spans="1:9">
      <c r="A29" s="2534" t="s">
        <v>2519</v>
      </c>
      <c r="B29" s="2533" t="s">
        <v>2460</v>
      </c>
      <c r="C29" s="2533"/>
      <c r="D29" s="2533"/>
      <c r="E29" s="2533" t="s">
        <v>2520</v>
      </c>
      <c r="F29" s="2533"/>
      <c r="G29" s="2533"/>
    </row>
    <row r="30" spans="1:9">
      <c r="A30" s="2532">
        <v>2</v>
      </c>
      <c r="B30" s="2533" t="s">
        <v>2521</v>
      </c>
      <c r="C30" s="2533">
        <f>C27*D30</f>
        <v>0</v>
      </c>
      <c r="D30" s="2535">
        <v>0.2</v>
      </c>
      <c r="E30" s="2533" t="s">
        <v>2522</v>
      </c>
      <c r="F30" s="2533"/>
      <c r="G30" s="2533"/>
    </row>
    <row r="31" spans="1:9">
      <c r="A31" s="2532">
        <v>3</v>
      </c>
      <c r="B31" s="2533" t="s">
        <v>2523</v>
      </c>
      <c r="C31" s="2533">
        <f>C25*D31</f>
        <v>0</v>
      </c>
      <c r="D31" s="2535">
        <v>0.15</v>
      </c>
      <c r="E31" s="2533" t="s">
        <v>2524</v>
      </c>
      <c r="F31" s="2533"/>
      <c r="G31" s="2533"/>
    </row>
    <row r="32" spans="1:9">
      <c r="A32" s="2532">
        <v>4</v>
      </c>
      <c r="B32" s="2533" t="s">
        <v>2525</v>
      </c>
      <c r="C32" s="2533">
        <f>C27*D32</f>
        <v>0</v>
      </c>
      <c r="D32" s="2535">
        <v>0.05</v>
      </c>
      <c r="E32" s="3476"/>
      <c r="F32" s="3476"/>
      <c r="G32" s="3476"/>
    </row>
    <row r="33" spans="1:7" hidden="1">
      <c r="A33" s="3486" t="s">
        <v>2526</v>
      </c>
      <c r="B33" s="3487"/>
      <c r="C33" s="3487"/>
      <c r="D33" s="3488"/>
      <c r="E33" s="3484"/>
      <c r="F33" s="3484"/>
      <c r="G33" s="3484"/>
    </row>
    <row r="34" spans="1:7" hidden="1">
      <c r="A34" s="2536">
        <v>1</v>
      </c>
      <c r="B34" s="2533" t="s">
        <v>2527</v>
      </c>
      <c r="C34" s="2533"/>
      <c r="D34" s="2533"/>
      <c r="E34" s="3485"/>
      <c r="F34" s="3485"/>
      <c r="G34" s="3485"/>
    </row>
    <row r="35" spans="1:7" hidden="1">
      <c r="A35" s="2536">
        <v>2</v>
      </c>
      <c r="B35" s="2533" t="s">
        <v>2528</v>
      </c>
      <c r="C35" s="2533"/>
      <c r="D35" s="2533"/>
      <c r="E35" s="3485"/>
      <c r="F35" s="3485"/>
      <c r="G35" s="3485"/>
    </row>
    <row r="36" spans="1:7" hidden="1">
      <c r="A36" s="2536">
        <v>3</v>
      </c>
      <c r="B36" s="2533" t="s">
        <v>2529</v>
      </c>
      <c r="C36" s="2533"/>
      <c r="D36" s="2533"/>
      <c r="E36" s="3485"/>
      <c r="F36" s="3485"/>
      <c r="G36" s="3485"/>
    </row>
    <row r="37" spans="1:7" hidden="1">
      <c r="A37" s="2536">
        <v>4</v>
      </c>
      <c r="B37" s="2533" t="s">
        <v>2530</v>
      </c>
      <c r="C37" s="2533"/>
      <c r="D37" s="2533"/>
      <c r="E37" s="3485"/>
      <c r="F37" s="3485"/>
      <c r="G37" s="3485"/>
    </row>
    <row r="38" spans="1:7" hidden="1">
      <c r="A38" s="3486" t="s">
        <v>2531</v>
      </c>
      <c r="B38" s="3487"/>
      <c r="C38" s="3487"/>
      <c r="D38" s="3488"/>
      <c r="E38" s="3484"/>
      <c r="F38" s="3484"/>
      <c r="G38" s="348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1685</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70">
        <v>1</v>
      </c>
      <c r="B7" s="748" t="s">
        <v>609</v>
      </c>
      <c r="C7" s="749">
        <f>C8+C9</f>
        <v>0</v>
      </c>
      <c r="D7" s="749"/>
      <c r="E7" s="750"/>
      <c r="F7" s="750"/>
      <c r="G7" s="2480"/>
    </row>
    <row r="8" spans="1:25" s="2184" customFormat="1" ht="13.5" customHeight="1">
      <c r="A8" s="2470" t="s">
        <v>2440</v>
      </c>
      <c r="B8" s="2473" t="s">
        <v>2442</v>
      </c>
      <c r="C8" s="2474"/>
      <c r="D8" s="749"/>
      <c r="E8" s="750"/>
      <c r="F8" s="750"/>
      <c r="G8" s="751"/>
    </row>
    <row r="9" spans="1:25" s="2184" customFormat="1" ht="13.5" customHeight="1">
      <c r="A9" s="2470" t="s">
        <v>2441</v>
      </c>
      <c r="B9" s="2473" t="s">
        <v>2443</v>
      </c>
      <c r="C9" s="2474"/>
      <c r="D9" s="749"/>
      <c r="E9" s="750"/>
      <c r="F9" s="750"/>
      <c r="G9" s="751"/>
    </row>
    <row r="10" spans="1:25" s="2184" customFormat="1" ht="36">
      <c r="A10" s="2470">
        <v>2</v>
      </c>
      <c r="B10" s="748" t="s">
        <v>613</v>
      </c>
      <c r="C10" s="749">
        <f>C11+C14+C15</f>
        <v>0</v>
      </c>
      <c r="D10" s="760">
        <f>'数据-汇总表'!E3</f>
        <v>51512</v>
      </c>
      <c r="E10" s="749">
        <f>'数据-取费表'!B31</f>
        <v>200</v>
      </c>
      <c r="F10" s="761"/>
      <c r="G10" s="759" t="s">
        <v>614</v>
      </c>
    </row>
    <row r="11" spans="1:25" s="2184" customFormat="1" ht="13.5" customHeight="1">
      <c r="A11" s="2470" t="s">
        <v>2440</v>
      </c>
      <c r="B11" s="752" t="s">
        <v>610</v>
      </c>
      <c r="C11" s="753">
        <f>'数据-取费表'!B29</f>
        <v>0</v>
      </c>
      <c r="D11" s="754"/>
      <c r="E11" s="753"/>
      <c r="F11" s="755"/>
      <c r="G11" s="2479" t="s">
        <v>2451</v>
      </c>
    </row>
    <row r="12" spans="1:25" s="2184" customFormat="1" ht="13.5" customHeight="1">
      <c r="A12" s="2477" t="s">
        <v>2448</v>
      </c>
      <c r="B12" s="756" t="s">
        <v>611</v>
      </c>
      <c r="C12" s="757">
        <f>ROUND(D12*E12/10000,0)</f>
        <v>0</v>
      </c>
      <c r="D12" s="758">
        <f>'数据-汇总表'!E5</f>
        <v>0</v>
      </c>
      <c r="E12" s="757">
        <f>'数据-取费表'!B27</f>
        <v>0</v>
      </c>
      <c r="F12" s="755"/>
      <c r="G12" s="759"/>
    </row>
    <row r="13" spans="1:25" s="2184" customFormat="1" ht="13.5" customHeight="1">
      <c r="A13" s="2477" t="s">
        <v>2447</v>
      </c>
      <c r="B13" s="756" t="s">
        <v>612</v>
      </c>
      <c r="C13" s="757">
        <f>ROUND(D13*E13/10000,0)</f>
        <v>1030</v>
      </c>
      <c r="D13" s="758">
        <f>'数据-汇总表'!E6</f>
        <v>51512</v>
      </c>
      <c r="E13" s="757">
        <f>'数据-取费表'!B28</f>
        <v>200</v>
      </c>
      <c r="F13" s="755"/>
      <c r="G13" s="759"/>
    </row>
    <row r="14" spans="1:25" s="2184" customFormat="1" ht="13.5" customHeight="1">
      <c r="A14" s="2470" t="s">
        <v>2441</v>
      </c>
      <c r="B14" s="2476" t="s">
        <v>2444</v>
      </c>
      <c r="C14" s="2474"/>
      <c r="D14" s="758"/>
      <c r="E14" s="757"/>
      <c r="F14" s="2475"/>
      <c r="G14" s="2478" t="s">
        <v>2449</v>
      </c>
    </row>
    <row r="15" spans="1:25" s="2184" customFormat="1" ht="13.5" customHeight="1">
      <c r="A15" s="2470" t="s">
        <v>2446</v>
      </c>
      <c r="B15" s="2476" t="s">
        <v>2445</v>
      </c>
      <c r="C15" s="2474"/>
      <c r="D15" s="758"/>
      <c r="E15" s="757"/>
      <c r="F15" s="2475"/>
      <c r="G15" s="2478" t="s">
        <v>2450</v>
      </c>
    </row>
    <row r="16" spans="1:25" s="2185" customFormat="1" ht="48">
      <c r="A16" s="2470">
        <v>3</v>
      </c>
      <c r="B16" s="748" t="s">
        <v>615</v>
      </c>
      <c r="C16" s="2474"/>
      <c r="D16" s="760"/>
      <c r="E16" s="749"/>
      <c r="F16" s="761"/>
      <c r="G16" s="759" t="s">
        <v>2452</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8" t="s">
        <v>616</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617</v>
      </c>
      <c r="C18" s="749">
        <f>ROUND((C7+C10+C16)*F18,0)</f>
        <v>0</v>
      </c>
      <c r="D18" s="762"/>
      <c r="E18" s="763"/>
      <c r="F18" s="761">
        <f>'数据-取费表'!Q16</f>
        <v>0.1</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625</v>
      </c>
      <c r="C22" s="749">
        <f ca="1">ROUND(C21*F22,0)</f>
        <v>0</v>
      </c>
      <c r="D22" s="760"/>
      <c r="E22" s="749"/>
      <c r="F22" s="766">
        <f>'数据-取费表'!AP16</f>
        <v>0.86199999999999999</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4" t="s">
        <v>719</v>
      </c>
      <c r="C1" s="2625" t="s">
        <v>720</v>
      </c>
      <c r="D1" s="2626"/>
      <c r="E1" s="2627"/>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23" t="e">
        <f>ROUND(B3*D3/10000,0)</f>
        <v>#DIV/0!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400" t="s">
        <v>522</v>
      </c>
      <c r="D4" s="3401"/>
      <c r="E4" s="3435" t="s">
        <v>523</v>
      </c>
      <c r="F4" s="3436"/>
      <c r="G4" s="3400" t="s">
        <v>524</v>
      </c>
      <c r="H4" s="3401"/>
      <c r="I4" s="3400" t="s">
        <v>525</v>
      </c>
      <c r="J4" s="3401"/>
      <c r="K4" s="853" t="s">
        <v>526</v>
      </c>
      <c r="L4" s="2134"/>
      <c r="M4" s="2135"/>
      <c r="N4" s="2135"/>
      <c r="O4" s="2135"/>
      <c r="P4" s="3402" t="s">
        <v>527</v>
      </c>
      <c r="Q4" s="3403"/>
      <c r="R4" s="3408" t="s">
        <v>523</v>
      </c>
      <c r="S4" s="3409"/>
      <c r="T4" s="3408" t="s">
        <v>524</v>
      </c>
      <c r="U4" s="3409"/>
      <c r="V4" s="3395" t="s">
        <v>525</v>
      </c>
      <c r="W4" s="3395"/>
      <c r="X4" s="1567"/>
      <c r="Y4" s="3408" t="s">
        <v>527</v>
      </c>
      <c r="Z4" s="3409"/>
      <c r="AA4" s="3397" t="s">
        <v>523</v>
      </c>
      <c r="AB4" s="3397" t="s">
        <v>524</v>
      </c>
      <c r="AC4" s="3397" t="s">
        <v>525</v>
      </c>
    </row>
    <row r="5" spans="1:29" ht="15">
      <c r="A5" s="515"/>
      <c r="B5" s="516"/>
      <c r="C5" s="3416" t="s">
        <v>2922</v>
      </c>
      <c r="D5" s="3417"/>
      <c r="E5" s="3437" t="s">
        <v>2923</v>
      </c>
      <c r="F5" s="3438"/>
      <c r="G5" s="3416" t="s">
        <v>2924</v>
      </c>
      <c r="H5" s="3417"/>
      <c r="I5" s="3416" t="s">
        <v>2925</v>
      </c>
      <c r="J5" s="3417"/>
      <c r="K5" s="854"/>
      <c r="L5" s="2134"/>
      <c r="M5" s="2135"/>
      <c r="N5" s="2135"/>
      <c r="O5" s="2135"/>
      <c r="P5" s="3404"/>
      <c r="Q5" s="3405"/>
      <c r="R5" s="3410"/>
      <c r="S5" s="3411"/>
      <c r="T5" s="3410"/>
      <c r="U5" s="3411"/>
      <c r="V5" s="3395"/>
      <c r="W5" s="3395"/>
      <c r="X5" s="1567"/>
      <c r="Y5" s="3410"/>
      <c r="Z5" s="3411"/>
      <c r="AA5" s="3398"/>
      <c r="AB5" s="3398"/>
      <c r="AC5" s="3398"/>
    </row>
    <row r="6" spans="1:29" ht="15.75" thickBot="1">
      <c r="A6" s="517"/>
      <c r="B6" s="518"/>
      <c r="C6" s="3431" t="s">
        <v>2926</v>
      </c>
      <c r="D6" s="3432"/>
      <c r="E6" s="3433" t="s">
        <v>2926</v>
      </c>
      <c r="F6" s="3434"/>
      <c r="G6" s="3431" t="s">
        <v>2926</v>
      </c>
      <c r="H6" s="3432"/>
      <c r="I6" s="3431" t="s">
        <v>2926</v>
      </c>
      <c r="J6" s="3432"/>
      <c r="K6" s="854" t="s">
        <v>528</v>
      </c>
      <c r="L6" s="2134"/>
      <c r="M6" s="2135"/>
      <c r="N6" s="2135"/>
      <c r="O6" s="2135"/>
      <c r="P6" s="3406"/>
      <c r="Q6" s="3407"/>
      <c r="R6" s="3410"/>
      <c r="S6" s="3411"/>
      <c r="T6" s="3412"/>
      <c r="U6" s="3413"/>
      <c r="V6" s="3395"/>
      <c r="W6" s="3395"/>
      <c r="X6" s="1567"/>
      <c r="Y6" s="3412"/>
      <c r="Z6" s="3413"/>
      <c r="AA6" s="3399"/>
      <c r="AB6" s="3399"/>
      <c r="AC6" s="3399"/>
    </row>
    <row r="7" spans="1:29" s="1220" customFormat="1" ht="15.75" thickBot="1">
      <c r="A7" s="2913"/>
      <c r="B7" s="2920" t="s">
        <v>529</v>
      </c>
      <c r="C7" s="519">
        <f>'数据-取费表'!B2</f>
        <v>43402</v>
      </c>
      <c r="D7" s="520">
        <v>100</v>
      </c>
      <c r="E7" s="521"/>
      <c r="F7" s="522">
        <f>SUMIF(58:58,YEAR(E7)&amp;"-"&amp;MONTH(E7),59:59)</f>
        <v>0</v>
      </c>
      <c r="G7" s="523"/>
      <c r="H7" s="520">
        <f>SUMIF(58:58,YEAR(G7)&amp;"-"&amp;MONTH(G7),59:59)</f>
        <v>0</v>
      </c>
      <c r="I7" s="523"/>
      <c r="J7" s="520">
        <f>SUMIF(58:58,YEAR(I7)&amp;"-"&amp;MONTH(I7),59:59)</f>
        <v>0</v>
      </c>
      <c r="K7" s="855"/>
      <c r="L7" s="2136"/>
      <c r="M7" s="2137"/>
      <c r="N7" s="2137"/>
      <c r="O7" s="2137"/>
      <c r="P7" s="3424" t="s">
        <v>530</v>
      </c>
      <c r="Q7" s="3426"/>
      <c r="R7" s="1568" t="s">
        <v>13</v>
      </c>
      <c r="S7" s="1569">
        <f t="shared" ref="S7:S15" si="0">F7</f>
        <v>0</v>
      </c>
      <c r="T7" s="1568" t="s">
        <v>13</v>
      </c>
      <c r="U7" s="1569">
        <f t="shared" ref="U7:U15" si="1">H7</f>
        <v>0</v>
      </c>
      <c r="V7" s="1568" t="s">
        <v>13</v>
      </c>
      <c r="W7" s="1569">
        <f t="shared" ref="W7:W15" si="2">J7</f>
        <v>0</v>
      </c>
      <c r="X7" s="1570"/>
      <c r="Y7" s="3424" t="s">
        <v>530</v>
      </c>
      <c r="Z7" s="3425"/>
      <c r="AA7" s="1571" t="e">
        <f>D7/F7</f>
        <v>#DIV/0!</v>
      </c>
      <c r="AB7" s="1571" t="e">
        <f>D7/H7</f>
        <v>#DIV/0!</v>
      </c>
      <c r="AC7" s="1571" t="e">
        <f>D7/J7</f>
        <v>#DIV/0!</v>
      </c>
    </row>
    <row r="8" spans="1:29" s="1220" customFormat="1" ht="15.75" thickBot="1">
      <c r="A8" s="2914"/>
      <c r="B8" s="2921"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424" t="s">
        <v>533</v>
      </c>
      <c r="Q8" s="3425"/>
      <c r="R8" s="1568" t="s">
        <v>13</v>
      </c>
      <c r="S8" s="1569">
        <f t="shared" si="0"/>
        <v>0</v>
      </c>
      <c r="T8" s="1568" t="s">
        <v>13</v>
      </c>
      <c r="U8" s="1569">
        <f t="shared" si="1"/>
        <v>0</v>
      </c>
      <c r="V8" s="1568" t="s">
        <v>13</v>
      </c>
      <c r="W8" s="1569">
        <f t="shared" si="2"/>
        <v>0</v>
      </c>
      <c r="X8" s="1570"/>
      <c r="Y8" s="3424" t="s">
        <v>533</v>
      </c>
      <c r="Z8" s="3425"/>
      <c r="AA8" s="1571" t="e">
        <f t="shared" ref="AA8:AA46" si="3">D8/F8</f>
        <v>#DIV/0!</v>
      </c>
      <c r="AB8" s="1571" t="e">
        <f t="shared" ref="AB8:AB46" si="4">D8/H8</f>
        <v>#DIV/0!</v>
      </c>
      <c r="AC8" s="1571" t="e">
        <f t="shared" ref="AC8:AC46" si="5">D8/J8</f>
        <v>#DIV/0!</v>
      </c>
    </row>
    <row r="9" spans="1:29" s="1220" customFormat="1" ht="15">
      <c r="A9" s="2915"/>
      <c r="B9" s="2922" t="s">
        <v>2755</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94" t="s">
        <v>535</v>
      </c>
      <c r="Q9" s="1151" t="str">
        <f t="shared" ref="Q9:Q15" si="6">B9</f>
        <v>用途</v>
      </c>
      <c r="R9" s="1568" t="s">
        <v>8</v>
      </c>
      <c r="S9" s="1569">
        <f t="shared" si="0"/>
        <v>100</v>
      </c>
      <c r="T9" s="1568" t="s">
        <v>8</v>
      </c>
      <c r="U9" s="1569">
        <f t="shared" si="1"/>
        <v>100</v>
      </c>
      <c r="V9" s="1568" t="s">
        <v>8</v>
      </c>
      <c r="W9" s="1569">
        <f t="shared" si="2"/>
        <v>100</v>
      </c>
      <c r="X9" s="1570"/>
      <c r="Y9" s="3322" t="s">
        <v>536</v>
      </c>
      <c r="Z9" s="1150" t="str">
        <f t="shared" ref="Z9:Z15" si="7">Q9</f>
        <v>用途</v>
      </c>
      <c r="AA9" s="1571">
        <f t="shared" si="3"/>
        <v>1</v>
      </c>
      <c r="AB9" s="1571">
        <f t="shared" si="4"/>
        <v>1</v>
      </c>
      <c r="AC9" s="1571">
        <f t="shared" si="5"/>
        <v>1</v>
      </c>
    </row>
    <row r="10" spans="1:29" s="1338" customFormat="1" ht="27">
      <c r="A10" s="2916"/>
      <c r="B10" s="2921" t="s">
        <v>2756</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94"/>
      <c r="Q10" s="1151" t="str">
        <f t="shared" si="6"/>
        <v>土地使用年限（年）</v>
      </c>
      <c r="R10" s="1568" t="s">
        <v>8</v>
      </c>
      <c r="S10" s="1569">
        <f t="shared" si="0"/>
        <v>100</v>
      </c>
      <c r="T10" s="1568" t="s">
        <v>8</v>
      </c>
      <c r="U10" s="1569">
        <f t="shared" si="1"/>
        <v>100</v>
      </c>
      <c r="V10" s="1568" t="s">
        <v>8</v>
      </c>
      <c r="W10" s="1569">
        <f t="shared" si="2"/>
        <v>100</v>
      </c>
      <c r="X10" s="1570"/>
      <c r="Y10" s="3322"/>
      <c r="Z10" s="1150" t="str">
        <f t="shared" si="7"/>
        <v>土地使用年限（年）</v>
      </c>
      <c r="AA10" s="1571">
        <f t="shared" si="3"/>
        <v>1</v>
      </c>
      <c r="AB10" s="1571">
        <f t="shared" si="4"/>
        <v>1</v>
      </c>
      <c r="AC10" s="1571">
        <f t="shared" si="5"/>
        <v>1</v>
      </c>
    </row>
    <row r="11" spans="1:29" ht="15">
      <c r="A11" s="2917"/>
      <c r="B11" s="2921" t="s">
        <v>2757</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94"/>
      <c r="Q11" s="1151" t="str">
        <f t="shared" si="6"/>
        <v>容积率</v>
      </c>
      <c r="R11" s="1568" t="s">
        <v>11</v>
      </c>
      <c r="S11" s="1569" t="e">
        <f t="shared" si="0"/>
        <v>#N/A</v>
      </c>
      <c r="T11" s="1568" t="s">
        <v>11</v>
      </c>
      <c r="U11" s="1569" t="e">
        <f t="shared" si="1"/>
        <v>#N/A</v>
      </c>
      <c r="V11" s="1568" t="s">
        <v>11</v>
      </c>
      <c r="W11" s="1569" t="e">
        <f t="shared" si="2"/>
        <v>#N/A</v>
      </c>
      <c r="X11" s="1570"/>
      <c r="Y11" s="3322"/>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94"/>
      <c r="Q12" s="1151">
        <f t="shared" si="6"/>
        <v>111</v>
      </c>
      <c r="R12" s="1568" t="s">
        <v>11</v>
      </c>
      <c r="S12" s="1569">
        <f t="shared" si="0"/>
        <v>100</v>
      </c>
      <c r="T12" s="1568" t="s">
        <v>11</v>
      </c>
      <c r="U12" s="1569">
        <f t="shared" si="1"/>
        <v>100</v>
      </c>
      <c r="V12" s="1568" t="s">
        <v>11</v>
      </c>
      <c r="W12" s="1569">
        <f t="shared" si="2"/>
        <v>100</v>
      </c>
      <c r="X12" s="1570"/>
      <c r="Y12" s="3322"/>
      <c r="Z12" s="1150">
        <f t="shared" si="7"/>
        <v>111</v>
      </c>
      <c r="AA12" s="1571">
        <f>D12/F12</f>
        <v>1</v>
      </c>
      <c r="AB12" s="1571">
        <f>D12/H12</f>
        <v>1</v>
      </c>
      <c r="AC12" s="1571">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94"/>
      <c r="Q13" s="1151">
        <f t="shared" si="6"/>
        <v>111</v>
      </c>
      <c r="R13" s="1568" t="s">
        <v>11</v>
      </c>
      <c r="S13" s="1569">
        <f t="shared" si="0"/>
        <v>100</v>
      </c>
      <c r="T13" s="1568" t="s">
        <v>11</v>
      </c>
      <c r="U13" s="1569">
        <f t="shared" si="1"/>
        <v>100</v>
      </c>
      <c r="V13" s="1568" t="s">
        <v>11</v>
      </c>
      <c r="W13" s="1569">
        <f t="shared" si="2"/>
        <v>100</v>
      </c>
      <c r="X13" s="1570"/>
      <c r="Y13" s="3322"/>
      <c r="Z13" s="1150">
        <f t="shared" si="7"/>
        <v>111</v>
      </c>
      <c r="AA13" s="1571">
        <f t="shared" si="3"/>
        <v>1</v>
      </c>
      <c r="AB13" s="1571">
        <f t="shared" si="4"/>
        <v>1</v>
      </c>
      <c r="AC13" s="1571">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94"/>
      <c r="Q14" s="1151">
        <f t="shared" si="6"/>
        <v>111</v>
      </c>
      <c r="R14" s="1568" t="s">
        <v>11</v>
      </c>
      <c r="S14" s="1569">
        <f t="shared" si="0"/>
        <v>100</v>
      </c>
      <c r="T14" s="1568" t="s">
        <v>11</v>
      </c>
      <c r="U14" s="1569">
        <f t="shared" si="1"/>
        <v>100</v>
      </c>
      <c r="V14" s="1568" t="s">
        <v>11</v>
      </c>
      <c r="W14" s="1569">
        <f t="shared" si="2"/>
        <v>100</v>
      </c>
      <c r="X14" s="1570"/>
      <c r="Y14" s="3322"/>
      <c r="Z14" s="1150">
        <f t="shared" si="7"/>
        <v>111</v>
      </c>
      <c r="AA14" s="1571">
        <f t="shared" si="3"/>
        <v>1</v>
      </c>
      <c r="AB14" s="1571">
        <f t="shared" si="4"/>
        <v>1</v>
      </c>
      <c r="AC14" s="1571">
        <f t="shared" si="5"/>
        <v>1</v>
      </c>
    </row>
    <row r="15" spans="1:29" ht="15">
      <c r="A15" s="2911" t="s">
        <v>2753</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427" t="s">
        <v>540</v>
      </c>
      <c r="Q15" s="1572" t="str">
        <f t="shared" si="6"/>
        <v>居住社区成熟度</v>
      </c>
      <c r="R15" s="1573" t="s">
        <v>11</v>
      </c>
      <c r="S15" s="1574">
        <f t="shared" si="0"/>
        <v>100</v>
      </c>
      <c r="T15" s="1573" t="s">
        <v>11</v>
      </c>
      <c r="U15" s="1574">
        <f t="shared" si="1"/>
        <v>100</v>
      </c>
      <c r="V15" s="1573" t="s">
        <v>11</v>
      </c>
      <c r="W15" s="1574">
        <f t="shared" si="2"/>
        <v>100</v>
      </c>
      <c r="X15" s="1567"/>
      <c r="Y15" s="3427" t="s">
        <v>540</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3"/>
      <c r="M16" s="2135"/>
      <c r="N16" s="2135"/>
      <c r="O16" s="2142"/>
      <c r="P16" s="3428"/>
      <c r="Q16" s="1572"/>
      <c r="R16" s="1573"/>
      <c r="S16" s="1574"/>
      <c r="T16" s="1573"/>
      <c r="U16" s="1574"/>
      <c r="V16" s="1573"/>
      <c r="W16" s="1574"/>
      <c r="X16" s="1567"/>
      <c r="Y16" s="3428"/>
      <c r="Z16" s="1575"/>
      <c r="AA16" s="1576">
        <v>1</v>
      </c>
      <c r="AB16" s="1576">
        <v>1</v>
      </c>
      <c r="AC16" s="1576">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428"/>
      <c r="Q17" s="1572" t="str">
        <f>B17</f>
        <v>交通便捷度</v>
      </c>
      <c r="R17" s="1573" t="s">
        <v>11</v>
      </c>
      <c r="S17" s="1574">
        <f>F17</f>
        <v>100</v>
      </c>
      <c r="T17" s="1573" t="s">
        <v>11</v>
      </c>
      <c r="U17" s="1574">
        <f>H17</f>
        <v>100</v>
      </c>
      <c r="V17" s="1573" t="s">
        <v>11</v>
      </c>
      <c r="W17" s="1574">
        <f>J17</f>
        <v>100</v>
      </c>
      <c r="X17" s="1567"/>
      <c r="Y17" s="3428"/>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3"/>
      <c r="M18" s="2135"/>
      <c r="N18" s="2135"/>
      <c r="O18" s="2142"/>
      <c r="P18" s="3428"/>
      <c r="Q18" s="1572"/>
      <c r="R18" s="1573"/>
      <c r="S18" s="1574"/>
      <c r="T18" s="1573"/>
      <c r="U18" s="1574"/>
      <c r="V18" s="1573"/>
      <c r="W18" s="1574"/>
      <c r="X18" s="1567"/>
      <c r="Y18" s="3428"/>
      <c r="Z18" s="1575"/>
      <c r="AA18" s="1576">
        <v>1</v>
      </c>
      <c r="AB18" s="1576">
        <v>1</v>
      </c>
      <c r="AC18" s="1576">
        <v>1</v>
      </c>
    </row>
    <row r="19" spans="1:29" ht="15">
      <c r="A19" s="532"/>
      <c r="B19" s="2601" t="s">
        <v>2546</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428"/>
      <c r="Q19" s="1572" t="str">
        <f>B19</f>
        <v>公共配套设施</v>
      </c>
      <c r="R19" s="1573" t="s">
        <v>11</v>
      </c>
      <c r="S19" s="1574">
        <f>F19</f>
        <v>100</v>
      </c>
      <c r="T19" s="1573" t="s">
        <v>11</v>
      </c>
      <c r="U19" s="1574">
        <f>H19</f>
        <v>100</v>
      </c>
      <c r="V19" s="1573" t="s">
        <v>11</v>
      </c>
      <c r="W19" s="1574">
        <f>J19</f>
        <v>100</v>
      </c>
      <c r="X19" s="1567"/>
      <c r="Y19" s="3428"/>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3"/>
      <c r="M20" s="2135"/>
      <c r="N20" s="2135"/>
      <c r="O20" s="2142"/>
      <c r="P20" s="3428"/>
      <c r="Q20" s="1572"/>
      <c r="R20" s="1573"/>
      <c r="S20" s="1574"/>
      <c r="T20" s="1573"/>
      <c r="U20" s="1574"/>
      <c r="V20" s="1573"/>
      <c r="W20" s="1574"/>
      <c r="X20" s="1567"/>
      <c r="Y20" s="3428"/>
      <c r="Z20" s="1575"/>
      <c r="AA20" s="1576">
        <v>1</v>
      </c>
      <c r="AB20" s="1576">
        <v>1</v>
      </c>
      <c r="AC20" s="1576">
        <v>1</v>
      </c>
    </row>
    <row r="21" spans="1:29" ht="15">
      <c r="A21" s="532"/>
      <c r="B21" s="2594" t="s">
        <v>2558</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428"/>
      <c r="Q21" s="2580" t="str">
        <f>B21</f>
        <v>基础设施水平</v>
      </c>
      <c r="R21" s="1573" t="s">
        <v>11</v>
      </c>
      <c r="S21" s="1574">
        <f>F21</f>
        <v>100</v>
      </c>
      <c r="T21" s="1573" t="s">
        <v>11</v>
      </c>
      <c r="U21" s="1574">
        <f>H21</f>
        <v>100</v>
      </c>
      <c r="V21" s="1573" t="s">
        <v>11</v>
      </c>
      <c r="W21" s="1574">
        <f>J21</f>
        <v>100</v>
      </c>
      <c r="X21" s="2582"/>
      <c r="Y21" s="3428"/>
      <c r="Z21" s="2581"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0"/>
      <c r="L22" s="2143"/>
      <c r="M22" s="2135"/>
      <c r="N22" s="2135"/>
      <c r="O22" s="2142"/>
      <c r="P22" s="3428"/>
      <c r="Q22" s="2580"/>
      <c r="R22" s="1573"/>
      <c r="S22" s="1574"/>
      <c r="T22" s="1573"/>
      <c r="U22" s="1574"/>
      <c r="V22" s="1573"/>
      <c r="W22" s="1574"/>
      <c r="X22" s="2582"/>
      <c r="Y22" s="3428"/>
      <c r="Z22" s="2581"/>
      <c r="AA22" s="1576">
        <v>1</v>
      </c>
      <c r="AB22" s="1576">
        <v>1</v>
      </c>
      <c r="AC22" s="1576">
        <v>1</v>
      </c>
    </row>
    <row r="23" spans="1:29" ht="15">
      <c r="A23" s="532"/>
      <c r="B23" s="871" t="s">
        <v>297</v>
      </c>
      <c r="C23" s="872"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428"/>
      <c r="Q23" s="1572" t="str">
        <f>B23</f>
        <v>自然及人文环境</v>
      </c>
      <c r="R23" s="1573" t="s">
        <v>11</v>
      </c>
      <c r="S23" s="1574">
        <f>F23</f>
        <v>100</v>
      </c>
      <c r="T23" s="1573" t="s">
        <v>11</v>
      </c>
      <c r="U23" s="1574">
        <f>H23</f>
        <v>100</v>
      </c>
      <c r="V23" s="1573" t="s">
        <v>11</v>
      </c>
      <c r="W23" s="1574">
        <f>J23</f>
        <v>100</v>
      </c>
      <c r="X23" s="1567"/>
      <c r="Y23" s="3428"/>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3"/>
      <c r="M24" s="2135"/>
      <c r="N24" s="2135"/>
      <c r="O24" s="2142"/>
      <c r="P24" s="3428"/>
      <c r="Q24" s="1572"/>
      <c r="R24" s="1573"/>
      <c r="S24" s="1574"/>
      <c r="T24" s="1573"/>
      <c r="U24" s="1574"/>
      <c r="V24" s="1573"/>
      <c r="W24" s="1574"/>
      <c r="X24" s="1567"/>
      <c r="Y24" s="3428"/>
      <c r="Z24" s="1575"/>
      <c r="AA24" s="1576">
        <v>1</v>
      </c>
      <c r="AB24" s="1576">
        <v>1</v>
      </c>
      <c r="AC24" s="1576">
        <v>1</v>
      </c>
    </row>
    <row r="25" spans="1:29" ht="15">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28"/>
      <c r="Q25" s="1572" t="str">
        <f t="shared" ref="Q25:Q46" si="11">B25</f>
        <v>楼层-1</v>
      </c>
      <c r="R25" s="1573" t="s">
        <v>11</v>
      </c>
      <c r="S25" s="1574">
        <f>F25</f>
        <v>100</v>
      </c>
      <c r="T25" s="1573" t="s">
        <v>11</v>
      </c>
      <c r="U25" s="1574">
        <f>H25</f>
        <v>100</v>
      </c>
      <c r="V25" s="1573" t="s">
        <v>11</v>
      </c>
      <c r="W25" s="1574">
        <f>J25</f>
        <v>100</v>
      </c>
      <c r="X25" s="1567"/>
      <c r="Y25" s="3428"/>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28"/>
      <c r="Q26" s="1572" t="str">
        <f t="shared" si="11"/>
        <v>朝向</v>
      </c>
      <c r="R26" s="1573" t="s">
        <v>11</v>
      </c>
      <c r="S26" s="1574">
        <f>F26</f>
        <v>100</v>
      </c>
      <c r="T26" s="1573" t="s">
        <v>11</v>
      </c>
      <c r="U26" s="1574">
        <f>H26</f>
        <v>100</v>
      </c>
      <c r="V26" s="1573" t="s">
        <v>11</v>
      </c>
      <c r="W26" s="1574">
        <f>J26</f>
        <v>100</v>
      </c>
      <c r="X26" s="1567"/>
      <c r="Y26" s="3428"/>
      <c r="Z26" s="1575" t="str">
        <f>Q26</f>
        <v>朝向</v>
      </c>
      <c r="AA26" s="1576">
        <f t="shared" si="3"/>
        <v>1</v>
      </c>
      <c r="AB26" s="1576">
        <f t="shared" si="4"/>
        <v>1</v>
      </c>
      <c r="AC26" s="1576">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28"/>
      <c r="Q27" s="1151" t="str">
        <f t="shared" si="11"/>
        <v>道路级别</v>
      </c>
      <c r="R27" s="1568" t="s">
        <v>11</v>
      </c>
      <c r="S27" s="1569">
        <f>F27</f>
        <v>100</v>
      </c>
      <c r="T27" s="1568" t="s">
        <v>11</v>
      </c>
      <c r="U27" s="1569">
        <f>H27</f>
        <v>100</v>
      </c>
      <c r="V27" s="1568" t="s">
        <v>11</v>
      </c>
      <c r="W27" s="1569">
        <f>J27</f>
        <v>100</v>
      </c>
      <c r="X27" s="1570"/>
      <c r="Y27" s="3428"/>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28"/>
      <c r="Q28" s="1572">
        <f t="shared" si="11"/>
        <v>111</v>
      </c>
      <c r="R28" s="1573" t="s">
        <v>11</v>
      </c>
      <c r="S28" s="1574">
        <f t="shared" ref="S28:S46" si="12">F28</f>
        <v>100</v>
      </c>
      <c r="T28" s="1573" t="s">
        <v>11</v>
      </c>
      <c r="U28" s="1574">
        <f t="shared" ref="U28:U46" si="13">H28</f>
        <v>100</v>
      </c>
      <c r="V28" s="1573" t="s">
        <v>11</v>
      </c>
      <c r="W28" s="1574">
        <f t="shared" ref="W28:W46" si="14">J28</f>
        <v>100</v>
      </c>
      <c r="X28" s="1567"/>
      <c r="Y28" s="3428"/>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28"/>
      <c r="Q29" s="1572">
        <f t="shared" si="11"/>
        <v>111</v>
      </c>
      <c r="R29" s="1573" t="s">
        <v>11</v>
      </c>
      <c r="S29" s="1574">
        <f t="shared" si="12"/>
        <v>100</v>
      </c>
      <c r="T29" s="1573" t="s">
        <v>11</v>
      </c>
      <c r="U29" s="1574">
        <f t="shared" si="13"/>
        <v>100</v>
      </c>
      <c r="V29" s="1573" t="s">
        <v>11</v>
      </c>
      <c r="W29" s="1574">
        <f t="shared" si="14"/>
        <v>100</v>
      </c>
      <c r="X29" s="1567"/>
      <c r="Y29" s="3428"/>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28"/>
      <c r="Q30" s="1572">
        <f t="shared" si="11"/>
        <v>111</v>
      </c>
      <c r="R30" s="1573" t="s">
        <v>11</v>
      </c>
      <c r="S30" s="1574">
        <f t="shared" si="12"/>
        <v>100</v>
      </c>
      <c r="T30" s="1573" t="s">
        <v>11</v>
      </c>
      <c r="U30" s="1574">
        <f t="shared" si="13"/>
        <v>100</v>
      </c>
      <c r="V30" s="1573" t="s">
        <v>11</v>
      </c>
      <c r="W30" s="1574">
        <f t="shared" si="14"/>
        <v>100</v>
      </c>
      <c r="X30" s="1567"/>
      <c r="Y30" s="3428"/>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28"/>
      <c r="Q31" s="1572">
        <f t="shared" si="11"/>
        <v>111</v>
      </c>
      <c r="R31" s="1573" t="s">
        <v>11</v>
      </c>
      <c r="S31" s="1574">
        <f t="shared" si="12"/>
        <v>100</v>
      </c>
      <c r="T31" s="1573" t="s">
        <v>11</v>
      </c>
      <c r="U31" s="1574">
        <f t="shared" si="13"/>
        <v>100</v>
      </c>
      <c r="V31" s="1573" t="s">
        <v>11</v>
      </c>
      <c r="W31" s="1574">
        <f t="shared" si="14"/>
        <v>100</v>
      </c>
      <c r="X31" s="1567"/>
      <c r="Y31" s="3428"/>
      <c r="Z31" s="1575">
        <f t="shared" si="15"/>
        <v>111</v>
      </c>
      <c r="AA31" s="1576">
        <f t="shared" si="3"/>
        <v>1</v>
      </c>
      <c r="AB31" s="1576">
        <f t="shared" si="4"/>
        <v>1</v>
      </c>
      <c r="AC31" s="1576">
        <f t="shared" si="5"/>
        <v>1</v>
      </c>
    </row>
    <row r="32" spans="1:29" ht="15">
      <c r="A32" s="2908" t="s">
        <v>2754</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429" t="s">
        <v>550</v>
      </c>
      <c r="Q32" s="1572" t="str">
        <f t="shared" si="11"/>
        <v>建筑类型</v>
      </c>
      <c r="R32" s="1573" t="s">
        <v>11</v>
      </c>
      <c r="S32" s="1574">
        <f t="shared" si="12"/>
        <v>100</v>
      </c>
      <c r="T32" s="1573" t="s">
        <v>11</v>
      </c>
      <c r="U32" s="1574">
        <f t="shared" si="13"/>
        <v>100</v>
      </c>
      <c r="V32" s="1573" t="s">
        <v>11</v>
      </c>
      <c r="W32" s="1574">
        <f t="shared" si="14"/>
        <v>100</v>
      </c>
      <c r="X32" s="1567"/>
      <c r="Y32" s="3430" t="s">
        <v>550</v>
      </c>
      <c r="Z32" s="1575" t="str">
        <f t="shared" si="15"/>
        <v>建筑类型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430"/>
      <c r="Q33" s="1605" t="str">
        <f t="shared" si="11"/>
        <v>项目建筑规模</v>
      </c>
      <c r="R33" s="1577" t="s">
        <v>11</v>
      </c>
      <c r="S33" s="1578" t="e">
        <f t="shared" si="12"/>
        <v>#N/A</v>
      </c>
      <c r="T33" s="1577" t="s">
        <v>11</v>
      </c>
      <c r="U33" s="1578" t="e">
        <f t="shared" si="13"/>
        <v>#N/A</v>
      </c>
      <c r="V33" s="1577" t="s">
        <v>11</v>
      </c>
      <c r="W33" s="1578" t="e">
        <f t="shared" si="14"/>
        <v>#N/A</v>
      </c>
      <c r="X33" s="1579"/>
      <c r="Y33" s="3430"/>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430"/>
      <c r="Q34" s="1572" t="str">
        <f t="shared" si="11"/>
        <v>建筑结构</v>
      </c>
      <c r="R34" s="1573" t="s">
        <v>11</v>
      </c>
      <c r="S34" s="1574">
        <f t="shared" si="12"/>
        <v>100</v>
      </c>
      <c r="T34" s="1573" t="s">
        <v>11</v>
      </c>
      <c r="U34" s="1574">
        <f t="shared" si="13"/>
        <v>100</v>
      </c>
      <c r="V34" s="1573" t="s">
        <v>11</v>
      </c>
      <c r="W34" s="1574">
        <f t="shared" si="14"/>
        <v>100</v>
      </c>
      <c r="X34" s="1567"/>
      <c r="Y34" s="3430"/>
      <c r="Z34" s="1575" t="str">
        <f t="shared" si="15"/>
        <v>建筑结构</v>
      </c>
      <c r="AA34" s="1576">
        <f t="shared" si="3"/>
        <v>1</v>
      </c>
      <c r="AB34" s="1576">
        <f t="shared" si="4"/>
        <v>1</v>
      </c>
      <c r="AC34" s="1576">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430"/>
      <c r="Q35" s="1572" t="str">
        <f t="shared" si="11"/>
        <v>建筑品质</v>
      </c>
      <c r="R35" s="1573" t="s">
        <v>11</v>
      </c>
      <c r="S35" s="1574">
        <f t="shared" si="12"/>
        <v>100</v>
      </c>
      <c r="T35" s="1573" t="s">
        <v>11</v>
      </c>
      <c r="U35" s="1574">
        <f t="shared" si="13"/>
        <v>100</v>
      </c>
      <c r="V35" s="1573" t="s">
        <v>11</v>
      </c>
      <c r="W35" s="1574">
        <f t="shared" si="14"/>
        <v>100</v>
      </c>
      <c r="X35" s="1567"/>
      <c r="Y35" s="3430"/>
      <c r="Z35" s="1575" t="str">
        <f t="shared" si="15"/>
        <v>建筑品质</v>
      </c>
      <c r="AA35" s="1576">
        <f t="shared" si="3"/>
        <v>1</v>
      </c>
      <c r="AB35" s="1576">
        <f t="shared" si="4"/>
        <v>1</v>
      </c>
      <c r="AC35" s="1576">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430"/>
      <c r="Q36" s="1572" t="str">
        <f t="shared" si="11"/>
        <v>公共部分装修</v>
      </c>
      <c r="R36" s="1573" t="s">
        <v>11</v>
      </c>
      <c r="S36" s="1574">
        <f t="shared" si="12"/>
        <v>100</v>
      </c>
      <c r="T36" s="1573" t="s">
        <v>11</v>
      </c>
      <c r="U36" s="1574">
        <f t="shared" si="13"/>
        <v>100</v>
      </c>
      <c r="V36" s="1573" t="s">
        <v>11</v>
      </c>
      <c r="W36" s="1574">
        <f t="shared" si="14"/>
        <v>100</v>
      </c>
      <c r="X36" s="1567"/>
      <c r="Y36" s="3430"/>
      <c r="Z36" s="1575" t="str">
        <f t="shared" si="15"/>
        <v>公共部分装修</v>
      </c>
      <c r="AA36" s="1576">
        <f t="shared" si="3"/>
        <v>1</v>
      </c>
      <c r="AB36" s="1576">
        <f t="shared" si="4"/>
        <v>1</v>
      </c>
      <c r="AC36" s="1576">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430"/>
      <c r="Q37" s="1151" t="str">
        <f t="shared" si="11"/>
        <v>成新度</v>
      </c>
      <c r="R37" s="1568" t="s">
        <v>11</v>
      </c>
      <c r="S37" s="1569" t="e">
        <f t="shared" si="12"/>
        <v>#N/A</v>
      </c>
      <c r="T37" s="1568" t="s">
        <v>11</v>
      </c>
      <c r="U37" s="1569" t="e">
        <f t="shared" si="13"/>
        <v>#N/A</v>
      </c>
      <c r="V37" s="1568" t="s">
        <v>11</v>
      </c>
      <c r="W37" s="1569" t="e">
        <f t="shared" si="14"/>
        <v>#N/A</v>
      </c>
      <c r="X37" s="1570"/>
      <c r="Y37" s="3430"/>
      <c r="Z37" s="1150" t="str">
        <f t="shared" si="15"/>
        <v>成新度</v>
      </c>
      <c r="AA37" s="1571" t="e">
        <f t="shared" si="3"/>
        <v>#N/A</v>
      </c>
      <c r="AB37" s="1571" t="e">
        <f t="shared" si="4"/>
        <v>#N/A</v>
      </c>
      <c r="AC37" s="1571"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430" t="s">
        <v>550</v>
      </c>
      <c r="Q38" s="1572" t="str">
        <f t="shared" si="11"/>
        <v>物业管理</v>
      </c>
      <c r="R38" s="1573" t="s">
        <v>11</v>
      </c>
      <c r="S38" s="1574">
        <f t="shared" si="12"/>
        <v>100</v>
      </c>
      <c r="T38" s="1573" t="s">
        <v>11</v>
      </c>
      <c r="U38" s="1574">
        <f t="shared" si="13"/>
        <v>100</v>
      </c>
      <c r="V38" s="1573" t="s">
        <v>11</v>
      </c>
      <c r="W38" s="1574">
        <f t="shared" si="14"/>
        <v>100</v>
      </c>
      <c r="X38" s="1567"/>
      <c r="Y38" s="3430" t="s">
        <v>550</v>
      </c>
      <c r="Z38" s="1575" t="str">
        <f t="shared" si="15"/>
        <v>物业管理</v>
      </c>
      <c r="AA38" s="1576">
        <f t="shared" si="3"/>
        <v>1</v>
      </c>
      <c r="AB38" s="1576">
        <f t="shared" si="4"/>
        <v>1</v>
      </c>
      <c r="AC38" s="1576">
        <f t="shared" si="5"/>
        <v>1</v>
      </c>
    </row>
    <row r="39" spans="1:29" ht="15">
      <c r="A39" s="594"/>
      <c r="B39" s="1896" t="s">
        <v>2564</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430"/>
      <c r="Q39" s="1572" t="str">
        <f t="shared" si="11"/>
        <v>市政基础设施</v>
      </c>
      <c r="R39" s="1573" t="s">
        <v>11</v>
      </c>
      <c r="S39" s="1574">
        <f t="shared" si="12"/>
        <v>100</v>
      </c>
      <c r="T39" s="1573" t="s">
        <v>11</v>
      </c>
      <c r="U39" s="1574">
        <f t="shared" si="13"/>
        <v>100</v>
      </c>
      <c r="V39" s="1573" t="s">
        <v>11</v>
      </c>
      <c r="W39" s="1574">
        <f t="shared" si="14"/>
        <v>100</v>
      </c>
      <c r="X39" s="1567"/>
      <c r="Y39" s="3430"/>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30"/>
      <c r="Q40" s="1572" t="str">
        <f t="shared" si="11"/>
        <v>房型</v>
      </c>
      <c r="R40" s="1573" t="s">
        <v>11</v>
      </c>
      <c r="S40" s="1574">
        <f t="shared" si="12"/>
        <v>100</v>
      </c>
      <c r="T40" s="1573" t="s">
        <v>11</v>
      </c>
      <c r="U40" s="1574">
        <f t="shared" si="13"/>
        <v>100</v>
      </c>
      <c r="V40" s="1573" t="s">
        <v>11</v>
      </c>
      <c r="W40" s="1574">
        <f t="shared" si="14"/>
        <v>100</v>
      </c>
      <c r="X40" s="1567"/>
      <c r="Y40" s="3430"/>
      <c r="Z40" s="1575" t="str">
        <f t="shared" si="15"/>
        <v>房型</v>
      </c>
      <c r="AA40" s="1576">
        <f t="shared" si="3"/>
        <v>1</v>
      </c>
      <c r="AB40" s="1576">
        <f t="shared" si="4"/>
        <v>1</v>
      </c>
      <c r="AC40" s="1576">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30"/>
      <c r="Q41" s="1605" t="str">
        <f t="shared" si="11"/>
        <v>单套/主力户型建筑面积</v>
      </c>
      <c r="R41" s="1577" t="s">
        <v>11</v>
      </c>
      <c r="S41" s="1578">
        <f t="shared" si="12"/>
        <v>100</v>
      </c>
      <c r="T41" s="1577" t="s">
        <v>11</v>
      </c>
      <c r="U41" s="1578">
        <f t="shared" si="13"/>
        <v>100</v>
      </c>
      <c r="V41" s="1577" t="s">
        <v>11</v>
      </c>
      <c r="W41" s="1578">
        <f t="shared" si="14"/>
        <v>100</v>
      </c>
      <c r="X41" s="1579"/>
      <c r="Y41" s="3430"/>
      <c r="Z41" s="1580" t="str">
        <f t="shared" si="15"/>
        <v>单套/主力户型建筑面积</v>
      </c>
      <c r="AA41" s="1576">
        <f t="shared" si="3"/>
        <v>1</v>
      </c>
      <c r="AB41" s="1576">
        <f t="shared" si="4"/>
        <v>1</v>
      </c>
      <c r="AC41" s="1576">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430"/>
      <c r="Q42" s="1572" t="str">
        <f t="shared" si="11"/>
        <v>内部装修</v>
      </c>
      <c r="R42" s="1573" t="s">
        <v>11</v>
      </c>
      <c r="S42" s="1574">
        <f t="shared" si="12"/>
        <v>100</v>
      </c>
      <c r="T42" s="1573" t="s">
        <v>11</v>
      </c>
      <c r="U42" s="1574">
        <f t="shared" si="13"/>
        <v>100</v>
      </c>
      <c r="V42" s="1573" t="s">
        <v>11</v>
      </c>
      <c r="W42" s="1574">
        <f t="shared" si="14"/>
        <v>100</v>
      </c>
      <c r="X42" s="1567"/>
      <c r="Y42" s="3430"/>
      <c r="Z42" s="1575" t="str">
        <f t="shared" si="15"/>
        <v>内部装修</v>
      </c>
      <c r="AA42" s="1576">
        <f t="shared" si="3"/>
        <v>1</v>
      </c>
      <c r="AB42" s="1576">
        <f t="shared" si="4"/>
        <v>1</v>
      </c>
      <c r="AC42" s="1576">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30"/>
      <c r="Q43" s="1572" t="str">
        <f t="shared" si="11"/>
        <v>内部装修维护情况</v>
      </c>
      <c r="R43" s="1573" t="s">
        <v>11</v>
      </c>
      <c r="S43" s="1574">
        <f t="shared" si="12"/>
        <v>100</v>
      </c>
      <c r="T43" s="1573" t="s">
        <v>11</v>
      </c>
      <c r="U43" s="1574">
        <f t="shared" si="13"/>
        <v>100</v>
      </c>
      <c r="V43" s="1573" t="s">
        <v>11</v>
      </c>
      <c r="W43" s="1574">
        <f t="shared" si="14"/>
        <v>100</v>
      </c>
      <c r="X43" s="1567"/>
      <c r="Y43" s="3430"/>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30"/>
      <c r="Q44" s="1151">
        <f t="shared" si="11"/>
        <v>111</v>
      </c>
      <c r="R44" s="1568" t="s">
        <v>11</v>
      </c>
      <c r="S44" s="1569">
        <f t="shared" si="12"/>
        <v>100</v>
      </c>
      <c r="T44" s="1568" t="s">
        <v>11</v>
      </c>
      <c r="U44" s="1569">
        <f t="shared" si="13"/>
        <v>100</v>
      </c>
      <c r="V44" s="1568" t="s">
        <v>11</v>
      </c>
      <c r="W44" s="1569">
        <f t="shared" si="14"/>
        <v>100</v>
      </c>
      <c r="X44" s="1570"/>
      <c r="Y44" s="3430"/>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30"/>
      <c r="Q45" s="1572">
        <f t="shared" si="11"/>
        <v>111</v>
      </c>
      <c r="R45" s="1573" t="s">
        <v>11</v>
      </c>
      <c r="S45" s="1574">
        <f t="shared" si="12"/>
        <v>100</v>
      </c>
      <c r="T45" s="1573" t="s">
        <v>11</v>
      </c>
      <c r="U45" s="1574">
        <f t="shared" si="13"/>
        <v>100</v>
      </c>
      <c r="V45" s="1573" t="s">
        <v>11</v>
      </c>
      <c r="W45" s="1574">
        <f t="shared" si="14"/>
        <v>100</v>
      </c>
      <c r="X45" s="1567"/>
      <c r="Y45" s="3430"/>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91"/>
      <c r="Q46" s="1572">
        <f t="shared" si="11"/>
        <v>111</v>
      </c>
      <c r="R46" s="1573" t="s">
        <v>10</v>
      </c>
      <c r="S46" s="1574">
        <f t="shared" si="12"/>
        <v>100</v>
      </c>
      <c r="T46" s="1573" t="s">
        <v>10</v>
      </c>
      <c r="U46" s="1574">
        <f t="shared" si="13"/>
        <v>100</v>
      </c>
      <c r="V46" s="1573" t="s">
        <v>10</v>
      </c>
      <c r="W46" s="1574">
        <f t="shared" si="14"/>
        <v>100</v>
      </c>
      <c r="X46" s="1567"/>
      <c r="Y46" s="3491"/>
      <c r="Z46" s="1575">
        <f t="shared" si="15"/>
        <v>111</v>
      </c>
      <c r="AA46" s="1576">
        <f t="shared" si="3"/>
        <v>1</v>
      </c>
      <c r="AB46" s="1576">
        <f t="shared" si="4"/>
        <v>1</v>
      </c>
      <c r="AC46" s="1576">
        <f t="shared" si="5"/>
        <v>1</v>
      </c>
    </row>
    <row r="47" spans="1:29" ht="15">
      <c r="A47" s="607" t="s">
        <v>736</v>
      </c>
      <c r="B47" s="887"/>
      <c r="C47" s="2628" t="s">
        <v>9</v>
      </c>
      <c r="D47" s="2629"/>
      <c r="E47" s="2630"/>
      <c r="F47" s="2631"/>
      <c r="G47" s="2632"/>
      <c r="H47" s="2633"/>
      <c r="I47" s="2630"/>
      <c r="J47" s="2633"/>
      <c r="K47" s="1606"/>
      <c r="L47" s="2145"/>
      <c r="M47" s="2146"/>
      <c r="N47" s="2135"/>
      <c r="O47" s="2146"/>
      <c r="P47" s="3394" t="str">
        <f>A47</f>
        <v>成交单价（元/平方米）</v>
      </c>
      <c r="Q47" s="3394"/>
      <c r="R47" s="3490">
        <f>E47</f>
        <v>0</v>
      </c>
      <c r="S47" s="3490"/>
      <c r="T47" s="3490">
        <f>G47</f>
        <v>0</v>
      </c>
      <c r="U47" s="3490"/>
      <c r="V47" s="3490">
        <f>I47</f>
        <v>0</v>
      </c>
      <c r="W47" s="3490"/>
      <c r="X47" s="1559"/>
      <c r="Y47" s="1581"/>
      <c r="Z47" s="1559"/>
      <c r="AA47" s="1559"/>
      <c r="AB47" s="1559"/>
      <c r="AC47" s="1559"/>
    </row>
    <row r="48" spans="1:29" ht="15.75" thickBot="1">
      <c r="A48" s="615" t="s">
        <v>2759</v>
      </c>
      <c r="B48" s="888"/>
      <c r="C48" s="2634" t="e">
        <f>R49</f>
        <v>#DIV/0!</v>
      </c>
      <c r="D48" s="2635"/>
      <c r="E48" s="2636" t="e">
        <f>R48</f>
        <v>#DIV/0!</v>
      </c>
      <c r="F48" s="2636"/>
      <c r="G48" s="2634" t="e">
        <f>T48</f>
        <v>#DIV/0!</v>
      </c>
      <c r="H48" s="2635"/>
      <c r="I48" s="2636" t="e">
        <f>V48</f>
        <v>#DIV/0!</v>
      </c>
      <c r="J48" s="2635"/>
      <c r="K48" s="1607"/>
      <c r="L48" s="2145"/>
      <c r="M48" s="2146"/>
      <c r="N48" s="2146"/>
      <c r="O48" s="2146"/>
      <c r="P48" s="3394" t="str">
        <f>A48</f>
        <v>比较价格（元/平方米）</v>
      </c>
      <c r="Q48" s="3394"/>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1559"/>
      <c r="Y48" s="1559"/>
      <c r="Z48" s="1559"/>
      <c r="AA48" s="1559"/>
      <c r="AB48" s="1559"/>
      <c r="AC48" s="1559"/>
    </row>
    <row r="49" spans="1:29" ht="15.75" thickBot="1">
      <c r="A49" s="621" t="s">
        <v>2928</v>
      </c>
      <c r="B49" s="622"/>
      <c r="C49" s="2637" t="e">
        <f>R49</f>
        <v>#DIV/0!</v>
      </c>
      <c r="D49" s="2637"/>
      <c r="E49" s="2637"/>
      <c r="F49" s="2637"/>
      <c r="G49" s="2637"/>
      <c r="H49" s="2637"/>
      <c r="I49" s="2637"/>
      <c r="J49" s="2637"/>
      <c r="K49" s="1608"/>
      <c r="L49" s="2145"/>
      <c r="M49" s="2146"/>
      <c r="N49" s="2146"/>
      <c r="O49" s="2146"/>
      <c r="P49" s="3391" t="str">
        <f>A49</f>
        <v>估价对象XX用房的比较价格（楼面单价，元/平方米）</v>
      </c>
      <c r="Q49" s="3392"/>
      <c r="R49" s="3489" t="e">
        <f>IF(F1="售价",ROUND(AVERAGE(R48:V48),0),ROUND(AVERAGE(R48:V48),1))</f>
        <v>#DIV/0!</v>
      </c>
      <c r="S49" s="3489"/>
      <c r="T49" s="3489"/>
      <c r="U49" s="3489"/>
      <c r="V49" s="3489"/>
      <c r="W49" s="3489"/>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5" t="str">
        <f>YEAR(C7)&amp;"-"&amp;MONTH(C7)</f>
        <v>2018-10</v>
      </c>
      <c r="D58" s="2805">
        <f>EDATE(C58,-1)</f>
        <v>43344</v>
      </c>
      <c r="E58" s="2805">
        <f t="shared" ref="E58:O58" si="16">EDATE(D58,-1)</f>
        <v>43313</v>
      </c>
      <c r="F58" s="2805">
        <f t="shared" si="16"/>
        <v>43282</v>
      </c>
      <c r="G58" s="2805">
        <f t="shared" si="16"/>
        <v>43252</v>
      </c>
      <c r="H58" s="2805">
        <f t="shared" si="16"/>
        <v>43221</v>
      </c>
      <c r="I58" s="2805">
        <f t="shared" si="16"/>
        <v>43191</v>
      </c>
      <c r="J58" s="2805">
        <f t="shared" si="16"/>
        <v>43160</v>
      </c>
      <c r="K58" s="2805">
        <f t="shared" si="16"/>
        <v>43132</v>
      </c>
      <c r="L58" s="2805">
        <f t="shared" si="16"/>
        <v>43101</v>
      </c>
      <c r="M58" s="2805">
        <f t="shared" si="16"/>
        <v>43070</v>
      </c>
      <c r="N58" s="2805">
        <f t="shared" si="16"/>
        <v>43040</v>
      </c>
      <c r="O58" s="2805">
        <f t="shared" si="16"/>
        <v>43009</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2557</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2558</v>
      </c>
      <c r="C82" s="2599" t="s">
        <v>2559</v>
      </c>
      <c r="D82" s="2599" t="s">
        <v>2560</v>
      </c>
      <c r="E82" s="2599" t="s">
        <v>2561</v>
      </c>
      <c r="F82" s="2599" t="s">
        <v>2562</v>
      </c>
      <c r="G82" s="2599" t="s">
        <v>2563</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2556</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1"/>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521</v>
      </c>
      <c r="B4" s="513"/>
      <c r="C4" s="3400" t="s">
        <v>522</v>
      </c>
      <c r="D4" s="3401"/>
      <c r="E4" s="3435" t="s">
        <v>523</v>
      </c>
      <c r="F4" s="3436"/>
      <c r="G4" s="3400" t="s">
        <v>524</v>
      </c>
      <c r="H4" s="3401"/>
      <c r="I4" s="3400" t="s">
        <v>525</v>
      </c>
      <c r="J4" s="3401"/>
      <c r="K4" s="514" t="s">
        <v>526</v>
      </c>
      <c r="L4" s="2134"/>
      <c r="M4" s="2135"/>
      <c r="N4" s="2135"/>
      <c r="O4" s="2135"/>
      <c r="P4" s="3402" t="s">
        <v>527</v>
      </c>
      <c r="Q4" s="3403"/>
      <c r="R4" s="3408" t="s">
        <v>523</v>
      </c>
      <c r="S4" s="3409"/>
      <c r="T4" s="3408" t="s">
        <v>524</v>
      </c>
      <c r="U4" s="3409"/>
      <c r="V4" s="3395" t="s">
        <v>525</v>
      </c>
      <c r="W4" s="3395"/>
      <c r="X4" s="1567"/>
      <c r="Y4" s="3408" t="s">
        <v>527</v>
      </c>
      <c r="Z4" s="3409"/>
      <c r="AA4" s="3397" t="s">
        <v>523</v>
      </c>
      <c r="AB4" s="3395" t="s">
        <v>524</v>
      </c>
      <c r="AC4" s="3397" t="s">
        <v>525</v>
      </c>
    </row>
    <row r="5" spans="1:29" ht="15">
      <c r="A5" s="515"/>
      <c r="B5" s="516"/>
      <c r="C5" s="3416" t="s">
        <v>2922</v>
      </c>
      <c r="D5" s="3417"/>
      <c r="E5" s="3437" t="s">
        <v>2923</v>
      </c>
      <c r="F5" s="3438"/>
      <c r="G5" s="3416" t="s">
        <v>2924</v>
      </c>
      <c r="H5" s="3417"/>
      <c r="I5" s="3416" t="s">
        <v>2925</v>
      </c>
      <c r="J5" s="3417"/>
      <c r="K5" s="514"/>
      <c r="L5" s="2134"/>
      <c r="M5" s="2135"/>
      <c r="N5" s="2135"/>
      <c r="O5" s="2135"/>
      <c r="P5" s="3404"/>
      <c r="Q5" s="3405"/>
      <c r="R5" s="3410"/>
      <c r="S5" s="3411"/>
      <c r="T5" s="3410"/>
      <c r="U5" s="3411"/>
      <c r="V5" s="3395"/>
      <c r="W5" s="3395"/>
      <c r="X5" s="1567"/>
      <c r="Y5" s="3410"/>
      <c r="Z5" s="3411"/>
      <c r="AA5" s="3398"/>
      <c r="AB5" s="3395"/>
      <c r="AC5" s="3398"/>
    </row>
    <row r="6" spans="1:29" ht="15.75" thickBot="1">
      <c r="A6" s="517"/>
      <c r="B6" s="518"/>
      <c r="C6" s="3431" t="s">
        <v>2926</v>
      </c>
      <c r="D6" s="3432"/>
      <c r="E6" s="3433" t="s">
        <v>2926</v>
      </c>
      <c r="F6" s="3434"/>
      <c r="G6" s="3431" t="s">
        <v>2926</v>
      </c>
      <c r="H6" s="3432"/>
      <c r="I6" s="3431" t="s">
        <v>2926</v>
      </c>
      <c r="J6" s="3432"/>
      <c r="K6" s="514" t="s">
        <v>528</v>
      </c>
      <c r="L6" s="2134"/>
      <c r="M6" s="2135"/>
      <c r="N6" s="2135"/>
      <c r="O6" s="2135"/>
      <c r="P6" s="3406"/>
      <c r="Q6" s="3407"/>
      <c r="R6" s="3410"/>
      <c r="S6" s="3411"/>
      <c r="T6" s="3412"/>
      <c r="U6" s="3413"/>
      <c r="V6" s="3395"/>
      <c r="W6" s="3395"/>
      <c r="X6" s="1567"/>
      <c r="Y6" s="3412"/>
      <c r="Z6" s="3413"/>
      <c r="AA6" s="3399"/>
      <c r="AB6" s="3395"/>
      <c r="AC6" s="3399"/>
    </row>
    <row r="7" spans="1:29" s="1220" customFormat="1" ht="15.75" thickBot="1">
      <c r="A7" s="2913"/>
      <c r="B7" s="2920" t="s">
        <v>529</v>
      </c>
      <c r="C7" s="519">
        <f>'数据-取费表'!B2</f>
        <v>43402</v>
      </c>
      <c r="D7" s="520">
        <v>100</v>
      </c>
      <c r="E7" s="521"/>
      <c r="F7" s="522">
        <f>SUMIF(58:58,YEAR(E7)&amp;"-"&amp;MONTH(E7),59:59)</f>
        <v>0</v>
      </c>
      <c r="G7" s="521"/>
      <c r="H7" s="520">
        <f>SUMIF(58:58,YEAR(G7)&amp;"-"&amp;MONTH(G7),59:59)</f>
        <v>0</v>
      </c>
      <c r="I7" s="521"/>
      <c r="J7" s="520">
        <f>SUMIF(58:58,YEAR(I7)&amp;"-"&amp;MONTH(I7),59:59)</f>
        <v>0</v>
      </c>
      <c r="K7" s="524"/>
      <c r="L7" s="2136"/>
      <c r="M7" s="2137"/>
      <c r="N7" s="2137"/>
      <c r="O7" s="2137"/>
      <c r="P7" s="3424" t="s">
        <v>530</v>
      </c>
      <c r="Q7" s="3426"/>
      <c r="R7" s="1568" t="s">
        <v>8</v>
      </c>
      <c r="S7" s="1569">
        <f t="shared" ref="S7:S15" si="0">F7</f>
        <v>0</v>
      </c>
      <c r="T7" s="1568" t="s">
        <v>8</v>
      </c>
      <c r="U7" s="1569">
        <f t="shared" ref="U7:U15" si="1">H7</f>
        <v>0</v>
      </c>
      <c r="V7" s="1568" t="s">
        <v>8</v>
      </c>
      <c r="W7" s="1569">
        <f t="shared" ref="W7:W15" si="2">J7</f>
        <v>0</v>
      </c>
      <c r="X7" s="1570"/>
      <c r="Y7" s="3424" t="s">
        <v>530</v>
      </c>
      <c r="Z7" s="3425"/>
      <c r="AA7" s="1571" t="e">
        <f>D7/F7</f>
        <v>#DIV/0!</v>
      </c>
      <c r="AB7" s="1571" t="e">
        <f>D7/H7</f>
        <v>#DIV/0!</v>
      </c>
      <c r="AC7" s="1571" t="e">
        <f>D7/J7</f>
        <v>#DIV/0!</v>
      </c>
    </row>
    <row r="8" spans="1:29" s="1220" customFormat="1" ht="15.75" thickBot="1">
      <c r="A8" s="2914"/>
      <c r="B8" s="2921"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424" t="s">
        <v>533</v>
      </c>
      <c r="Q8" s="3425"/>
      <c r="R8" s="1568" t="s">
        <v>8</v>
      </c>
      <c r="S8" s="1569">
        <f t="shared" si="0"/>
        <v>0</v>
      </c>
      <c r="T8" s="1568" t="s">
        <v>8</v>
      </c>
      <c r="U8" s="1569">
        <f t="shared" si="1"/>
        <v>0</v>
      </c>
      <c r="V8" s="1568" t="s">
        <v>8</v>
      </c>
      <c r="W8" s="1569">
        <f t="shared" si="2"/>
        <v>0</v>
      </c>
      <c r="X8" s="1570"/>
      <c r="Y8" s="3424" t="s">
        <v>533</v>
      </c>
      <c r="Z8" s="3425"/>
      <c r="AA8" s="1571" t="e">
        <f t="shared" ref="AA8:AA46" si="3">D8/F8</f>
        <v>#DIV/0!</v>
      </c>
      <c r="AB8" s="1571" t="e">
        <f t="shared" ref="AB8:AB46" si="4">D8/H8</f>
        <v>#DIV/0!</v>
      </c>
      <c r="AC8" s="1571" t="e">
        <f t="shared" ref="AC8:AC46" si="5">D8/J8</f>
        <v>#DIV/0!</v>
      </c>
    </row>
    <row r="9" spans="1:29" s="1220" customFormat="1" ht="15">
      <c r="A9" s="2915"/>
      <c r="B9" s="2922" t="s">
        <v>2755</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94" t="s">
        <v>535</v>
      </c>
      <c r="Q9" s="1151" t="str">
        <f t="shared" ref="Q9:Q15" si="6">B9</f>
        <v>用途</v>
      </c>
      <c r="R9" s="1568" t="s">
        <v>8</v>
      </c>
      <c r="S9" s="1569">
        <f t="shared" si="0"/>
        <v>100</v>
      </c>
      <c r="T9" s="1568" t="s">
        <v>8</v>
      </c>
      <c r="U9" s="1569">
        <f t="shared" si="1"/>
        <v>100</v>
      </c>
      <c r="V9" s="1568" t="s">
        <v>8</v>
      </c>
      <c r="W9" s="1569">
        <f t="shared" si="2"/>
        <v>100</v>
      </c>
      <c r="X9" s="1570"/>
      <c r="Y9" s="3322" t="s">
        <v>536</v>
      </c>
      <c r="Z9" s="1150" t="str">
        <f t="shared" ref="Z9:Z15" si="7">Q9</f>
        <v>用途</v>
      </c>
      <c r="AA9" s="1571">
        <f t="shared" si="3"/>
        <v>1</v>
      </c>
      <c r="AB9" s="1571">
        <f t="shared" si="4"/>
        <v>1</v>
      </c>
      <c r="AC9" s="1571">
        <f t="shared" si="5"/>
        <v>1</v>
      </c>
    </row>
    <row r="10" spans="1:29" s="1338" customFormat="1" ht="27">
      <c r="A10" s="2916"/>
      <c r="B10" s="2921" t="s">
        <v>2756</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94"/>
      <c r="Q10" s="1151" t="str">
        <f t="shared" si="6"/>
        <v>土地使用年限（年）</v>
      </c>
      <c r="R10" s="1568" t="s">
        <v>8</v>
      </c>
      <c r="S10" s="1569">
        <f t="shared" si="0"/>
        <v>100</v>
      </c>
      <c r="T10" s="1568" t="s">
        <v>8</v>
      </c>
      <c r="U10" s="1569">
        <f t="shared" si="1"/>
        <v>100</v>
      </c>
      <c r="V10" s="1568" t="s">
        <v>8</v>
      </c>
      <c r="W10" s="1569">
        <f t="shared" si="2"/>
        <v>100</v>
      </c>
      <c r="X10" s="1570"/>
      <c r="Y10" s="3322"/>
      <c r="Z10" s="1150" t="str">
        <f t="shared" si="7"/>
        <v>土地使用年限（年）</v>
      </c>
      <c r="AA10" s="1571">
        <f t="shared" si="3"/>
        <v>1</v>
      </c>
      <c r="AB10" s="1571">
        <f t="shared" si="4"/>
        <v>1</v>
      </c>
      <c r="AC10" s="1571">
        <f t="shared" si="5"/>
        <v>1</v>
      </c>
    </row>
    <row r="11" spans="1:29" ht="15">
      <c r="A11" s="2917"/>
      <c r="B11" s="2921"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94"/>
      <c r="Q11" s="1151" t="str">
        <f t="shared" si="6"/>
        <v>容积率</v>
      </c>
      <c r="R11" s="1568" t="s">
        <v>8</v>
      </c>
      <c r="S11" s="1569" t="e">
        <f t="shared" si="0"/>
        <v>#N/A</v>
      </c>
      <c r="T11" s="1568" t="s">
        <v>8</v>
      </c>
      <c r="U11" s="1569" t="e">
        <f t="shared" si="1"/>
        <v>#N/A</v>
      </c>
      <c r="V11" s="1568" t="s">
        <v>8</v>
      </c>
      <c r="W11" s="1569" t="e">
        <f t="shared" si="2"/>
        <v>#N/A</v>
      </c>
      <c r="X11" s="1570"/>
      <c r="Y11" s="3322"/>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94"/>
      <c r="Q12" s="1151">
        <f t="shared" si="6"/>
        <v>111</v>
      </c>
      <c r="R12" s="1568" t="s">
        <v>8</v>
      </c>
      <c r="S12" s="1569">
        <f t="shared" si="0"/>
        <v>100</v>
      </c>
      <c r="T12" s="1568" t="s">
        <v>8</v>
      </c>
      <c r="U12" s="1569">
        <f t="shared" si="1"/>
        <v>100</v>
      </c>
      <c r="V12" s="1568" t="s">
        <v>8</v>
      </c>
      <c r="W12" s="1569">
        <f t="shared" si="2"/>
        <v>100</v>
      </c>
      <c r="X12" s="1570"/>
      <c r="Y12" s="3322"/>
      <c r="Z12" s="1150">
        <f t="shared" si="7"/>
        <v>111</v>
      </c>
      <c r="AA12" s="1571">
        <f>D12/F12</f>
        <v>1</v>
      </c>
      <c r="AB12" s="1571">
        <f>D12/H12</f>
        <v>1</v>
      </c>
      <c r="AC12" s="1571">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94"/>
      <c r="Q13" s="1151">
        <f t="shared" si="6"/>
        <v>111</v>
      </c>
      <c r="R13" s="1568" t="s">
        <v>8</v>
      </c>
      <c r="S13" s="1569">
        <f t="shared" si="0"/>
        <v>100</v>
      </c>
      <c r="T13" s="1568" t="s">
        <v>8</v>
      </c>
      <c r="U13" s="1569">
        <f t="shared" si="1"/>
        <v>100</v>
      </c>
      <c r="V13" s="1568" t="s">
        <v>8</v>
      </c>
      <c r="W13" s="1569">
        <f t="shared" si="2"/>
        <v>100</v>
      </c>
      <c r="X13" s="1570"/>
      <c r="Y13" s="3322"/>
      <c r="Z13" s="1150">
        <f t="shared" si="7"/>
        <v>111</v>
      </c>
      <c r="AA13" s="1571">
        <f t="shared" si="3"/>
        <v>1</v>
      </c>
      <c r="AB13" s="1571">
        <f t="shared" si="4"/>
        <v>1</v>
      </c>
      <c r="AC13" s="1571">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94"/>
      <c r="Q14" s="1151">
        <f t="shared" si="6"/>
        <v>111</v>
      </c>
      <c r="R14" s="1568" t="s">
        <v>8</v>
      </c>
      <c r="S14" s="1569">
        <f t="shared" si="0"/>
        <v>100</v>
      </c>
      <c r="T14" s="1568" t="s">
        <v>8</v>
      </c>
      <c r="U14" s="1569">
        <f t="shared" si="1"/>
        <v>100</v>
      </c>
      <c r="V14" s="1568" t="s">
        <v>8</v>
      </c>
      <c r="W14" s="1569">
        <f t="shared" si="2"/>
        <v>100</v>
      </c>
      <c r="X14" s="1570"/>
      <c r="Y14" s="3322"/>
      <c r="Z14" s="1150">
        <f t="shared" si="7"/>
        <v>111</v>
      </c>
      <c r="AA14" s="1571">
        <f t="shared" si="3"/>
        <v>1</v>
      </c>
      <c r="AB14" s="1571">
        <f t="shared" si="4"/>
        <v>1</v>
      </c>
      <c r="AC14" s="1571">
        <f t="shared" si="5"/>
        <v>1</v>
      </c>
    </row>
    <row r="15" spans="1:29" ht="15">
      <c r="A15" s="2911" t="s">
        <v>2753</v>
      </c>
      <c r="B15" s="166" t="s">
        <v>541</v>
      </c>
      <c r="C15" s="867" t="str">
        <f>估价对象房地状况!C4</f>
        <v>较好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427" t="s">
        <v>540</v>
      </c>
      <c r="Q15" s="1572" t="str">
        <f t="shared" si="6"/>
        <v>商业繁华度</v>
      </c>
      <c r="R15" s="1573" t="s">
        <v>8</v>
      </c>
      <c r="S15" s="1574">
        <f t="shared" si="0"/>
        <v>100</v>
      </c>
      <c r="T15" s="1573" t="s">
        <v>8</v>
      </c>
      <c r="U15" s="1574">
        <f t="shared" si="1"/>
        <v>100</v>
      </c>
      <c r="V15" s="1573" t="s">
        <v>8</v>
      </c>
      <c r="W15" s="1574">
        <f t="shared" si="2"/>
        <v>100</v>
      </c>
      <c r="X15" s="1567"/>
      <c r="Y15" s="3427"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28"/>
      <c r="Q16" s="1572"/>
      <c r="R16" s="1573"/>
      <c r="S16" s="1574"/>
      <c r="T16" s="1573"/>
      <c r="U16" s="1574"/>
      <c r="V16" s="1573"/>
      <c r="W16" s="1574"/>
      <c r="X16" s="1567"/>
      <c r="Y16" s="3428"/>
      <c r="Z16" s="1575"/>
      <c r="AA16" s="1576">
        <v>1</v>
      </c>
      <c r="AB16" s="1576">
        <v>1</v>
      </c>
      <c r="AC16" s="1576">
        <v>1</v>
      </c>
    </row>
    <row r="17" spans="1:29" ht="15">
      <c r="A17" s="532"/>
      <c r="B17" s="871" t="s">
        <v>296</v>
      </c>
      <c r="C17" s="872" t="str">
        <f>估价对象房地状况!C6</f>
        <v>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28"/>
      <c r="Q17" s="1572" t="str">
        <f>B17</f>
        <v>交通便捷度</v>
      </c>
      <c r="R17" s="1573" t="s">
        <v>8</v>
      </c>
      <c r="S17" s="1574">
        <f>F17</f>
        <v>100</v>
      </c>
      <c r="T17" s="1573" t="s">
        <v>8</v>
      </c>
      <c r="U17" s="1574">
        <f>H17</f>
        <v>100</v>
      </c>
      <c r="V17" s="1573" t="s">
        <v>8</v>
      </c>
      <c r="W17" s="1574">
        <f>J17</f>
        <v>100</v>
      </c>
      <c r="X17" s="1567"/>
      <c r="Y17" s="3428"/>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28"/>
      <c r="Q18" s="1572"/>
      <c r="R18" s="1573"/>
      <c r="S18" s="1574"/>
      <c r="T18" s="1573"/>
      <c r="U18" s="1574"/>
      <c r="V18" s="1573"/>
      <c r="W18" s="1574"/>
      <c r="X18" s="1567"/>
      <c r="Y18" s="3428"/>
      <c r="Z18" s="1575"/>
      <c r="AA18" s="1576">
        <v>1</v>
      </c>
      <c r="AB18" s="1576">
        <v>1</v>
      </c>
      <c r="AC18" s="1576">
        <v>1</v>
      </c>
    </row>
    <row r="19" spans="1:29" ht="15">
      <c r="A19" s="532"/>
      <c r="B19" s="2601" t="s">
        <v>2546</v>
      </c>
      <c r="C19" s="872" t="str">
        <f>估价对象房地状况!C7</f>
        <v>较好</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28"/>
      <c r="Q19" s="1572" t="str">
        <f>B19</f>
        <v>公共配套设施</v>
      </c>
      <c r="R19" s="1573" t="s">
        <v>8</v>
      </c>
      <c r="S19" s="1574">
        <f>F19</f>
        <v>100</v>
      </c>
      <c r="T19" s="1573" t="s">
        <v>8</v>
      </c>
      <c r="U19" s="1574">
        <f>H19</f>
        <v>100</v>
      </c>
      <c r="V19" s="1573" t="s">
        <v>8</v>
      </c>
      <c r="W19" s="1574">
        <f>J19</f>
        <v>100</v>
      </c>
      <c r="X19" s="1567"/>
      <c r="Y19" s="3428"/>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428"/>
      <c r="Q20" s="1572"/>
      <c r="R20" s="1573"/>
      <c r="S20" s="1574"/>
      <c r="T20" s="1573"/>
      <c r="U20" s="1574"/>
      <c r="V20" s="1573"/>
      <c r="W20" s="1574"/>
      <c r="X20" s="1567"/>
      <c r="Y20" s="3428"/>
      <c r="Z20" s="1575"/>
      <c r="AA20" s="1576">
        <v>1</v>
      </c>
      <c r="AB20" s="1576">
        <v>1</v>
      </c>
      <c r="AC20" s="1576">
        <v>1</v>
      </c>
    </row>
    <row r="21" spans="1:29" ht="15">
      <c r="A21" s="532"/>
      <c r="B21" s="2594" t="s">
        <v>2558</v>
      </c>
      <c r="C21" s="872" t="str">
        <f>估价对象房地状况!C8</f>
        <v>七通</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28"/>
      <c r="Q21" s="2580" t="str">
        <f>B21</f>
        <v>基础设施水平</v>
      </c>
      <c r="R21" s="1573" t="s">
        <v>8</v>
      </c>
      <c r="S21" s="1574">
        <f>F21</f>
        <v>100</v>
      </c>
      <c r="T21" s="1573" t="s">
        <v>8</v>
      </c>
      <c r="U21" s="1574">
        <f>H21</f>
        <v>100</v>
      </c>
      <c r="V21" s="1573" t="s">
        <v>8</v>
      </c>
      <c r="W21" s="1574">
        <f>J21</f>
        <v>100</v>
      </c>
      <c r="X21" s="2582"/>
      <c r="Y21" s="3428"/>
      <c r="Z21" s="2581"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3"/>
      <c r="L22" s="2143"/>
      <c r="M22" s="2135"/>
      <c r="N22" s="2135"/>
      <c r="O22" s="2142"/>
      <c r="P22" s="3428"/>
      <c r="Q22" s="2580"/>
      <c r="R22" s="1573"/>
      <c r="S22" s="1574"/>
      <c r="T22" s="1573"/>
      <c r="U22" s="1574"/>
      <c r="V22" s="1573"/>
      <c r="W22" s="1574"/>
      <c r="X22" s="2582"/>
      <c r="Y22" s="3428"/>
      <c r="Z22" s="2581"/>
      <c r="AA22" s="1576">
        <v>1</v>
      </c>
      <c r="AB22" s="1576">
        <v>1</v>
      </c>
      <c r="AC22" s="1576">
        <v>1</v>
      </c>
    </row>
    <row r="23" spans="1:29" ht="15">
      <c r="A23" s="532"/>
      <c r="B23" s="871" t="s">
        <v>297</v>
      </c>
      <c r="C23" s="900"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28"/>
      <c r="Q23" s="1572" t="str">
        <f>B23</f>
        <v>自然及人文环境</v>
      </c>
      <c r="R23" s="1573" t="s">
        <v>8</v>
      </c>
      <c r="S23" s="1574">
        <f>F23</f>
        <v>100</v>
      </c>
      <c r="T23" s="1573" t="s">
        <v>8</v>
      </c>
      <c r="U23" s="1574">
        <f>H23</f>
        <v>100</v>
      </c>
      <c r="V23" s="1573" t="s">
        <v>8</v>
      </c>
      <c r="W23" s="1574">
        <f>J23</f>
        <v>100</v>
      </c>
      <c r="X23" s="1567"/>
      <c r="Y23" s="3428"/>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428"/>
      <c r="Q24" s="1572"/>
      <c r="R24" s="1573"/>
      <c r="S24" s="1574"/>
      <c r="T24" s="1573"/>
      <c r="U24" s="1574"/>
      <c r="V24" s="1573"/>
      <c r="W24" s="1574"/>
      <c r="X24" s="1567"/>
      <c r="Y24" s="3428"/>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28"/>
      <c r="Q25" s="1572" t="str">
        <f t="shared" ref="Q25:Q46" si="11">B25</f>
        <v>临街状况</v>
      </c>
      <c r="R25" s="1573" t="s">
        <v>8</v>
      </c>
      <c r="S25" s="1574">
        <f>F25</f>
        <v>100</v>
      </c>
      <c r="T25" s="1573" t="s">
        <v>8</v>
      </c>
      <c r="U25" s="1574">
        <f>H25</f>
        <v>100</v>
      </c>
      <c r="V25" s="1573" t="s">
        <v>8</v>
      </c>
      <c r="W25" s="1574">
        <f>J25</f>
        <v>100</v>
      </c>
      <c r="X25" s="1567"/>
      <c r="Y25" s="3428"/>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28"/>
      <c r="Q26" s="1572" t="str">
        <f t="shared" si="11"/>
        <v>平面位置/可视性</v>
      </c>
      <c r="R26" s="1573" t="s">
        <v>8</v>
      </c>
      <c r="S26" s="1574">
        <f>F26</f>
        <v>100</v>
      </c>
      <c r="T26" s="1573" t="s">
        <v>8</v>
      </c>
      <c r="U26" s="1574">
        <f>H26</f>
        <v>100</v>
      </c>
      <c r="V26" s="1573" t="s">
        <v>8</v>
      </c>
      <c r="W26" s="1574">
        <f>J26</f>
        <v>100</v>
      </c>
      <c r="X26" s="1567"/>
      <c r="Y26" s="3428"/>
      <c r="Z26" s="1575" t="str">
        <f>Q26</f>
        <v>平面位置/可视性</v>
      </c>
      <c r="AA26" s="1576">
        <f t="shared" si="3"/>
        <v>1</v>
      </c>
      <c r="AB26" s="1576">
        <f t="shared" si="4"/>
        <v>1</v>
      </c>
      <c r="AC26" s="1576">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28"/>
      <c r="Q27" s="1151" t="str">
        <f t="shared" si="11"/>
        <v>人流量</v>
      </c>
      <c r="R27" s="1568" t="s">
        <v>8</v>
      </c>
      <c r="S27" s="1569">
        <f>F27</f>
        <v>100</v>
      </c>
      <c r="T27" s="1568" t="s">
        <v>8</v>
      </c>
      <c r="U27" s="1569">
        <f>H27</f>
        <v>100</v>
      </c>
      <c r="V27" s="1568" t="s">
        <v>8</v>
      </c>
      <c r="W27" s="1569">
        <f>J27</f>
        <v>100</v>
      </c>
      <c r="X27" s="1570"/>
      <c r="Y27" s="3428"/>
      <c r="Z27" s="1150"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28"/>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28"/>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28"/>
      <c r="Q29" s="1572">
        <f t="shared" si="11"/>
        <v>111</v>
      </c>
      <c r="R29" s="1573" t="s">
        <v>8</v>
      </c>
      <c r="S29" s="1574">
        <f t="shared" si="12"/>
        <v>100</v>
      </c>
      <c r="T29" s="1573" t="s">
        <v>8</v>
      </c>
      <c r="U29" s="1574">
        <f t="shared" si="13"/>
        <v>100</v>
      </c>
      <c r="V29" s="1573" t="s">
        <v>8</v>
      </c>
      <c r="W29" s="1574">
        <f t="shared" si="14"/>
        <v>100</v>
      </c>
      <c r="X29" s="1567"/>
      <c r="Y29" s="3428"/>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28"/>
      <c r="Q30" s="1572">
        <f t="shared" si="11"/>
        <v>111</v>
      </c>
      <c r="R30" s="1573" t="s">
        <v>8</v>
      </c>
      <c r="S30" s="1574">
        <f t="shared" si="12"/>
        <v>100</v>
      </c>
      <c r="T30" s="1573" t="s">
        <v>8</v>
      </c>
      <c r="U30" s="1574">
        <f t="shared" si="13"/>
        <v>100</v>
      </c>
      <c r="V30" s="1573" t="s">
        <v>8</v>
      </c>
      <c r="W30" s="1574">
        <f t="shared" si="14"/>
        <v>100</v>
      </c>
      <c r="X30" s="1567"/>
      <c r="Y30" s="3428"/>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28"/>
      <c r="Q31" s="1572">
        <f t="shared" si="11"/>
        <v>111</v>
      </c>
      <c r="R31" s="1573" t="s">
        <v>8</v>
      </c>
      <c r="S31" s="1574">
        <f t="shared" si="12"/>
        <v>100</v>
      </c>
      <c r="T31" s="1573" t="s">
        <v>8</v>
      </c>
      <c r="U31" s="1574">
        <f t="shared" si="13"/>
        <v>100</v>
      </c>
      <c r="V31" s="1573" t="s">
        <v>8</v>
      </c>
      <c r="W31" s="1574">
        <f t="shared" si="14"/>
        <v>100</v>
      </c>
      <c r="X31" s="1567"/>
      <c r="Y31" s="3428"/>
      <c r="Z31" s="1575">
        <f t="shared" si="15"/>
        <v>111</v>
      </c>
      <c r="AA31" s="1576">
        <f t="shared" si="3"/>
        <v>1</v>
      </c>
      <c r="AB31" s="1576">
        <f t="shared" si="4"/>
        <v>1</v>
      </c>
      <c r="AC31" s="1576">
        <f t="shared" si="5"/>
        <v>1</v>
      </c>
    </row>
    <row r="32" spans="1:29" ht="15">
      <c r="A32" s="2908"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29" t="s">
        <v>550</v>
      </c>
      <c r="Q32" s="1572" t="str">
        <f t="shared" si="11"/>
        <v>商业类型</v>
      </c>
      <c r="R32" s="1573" t="s">
        <v>8</v>
      </c>
      <c r="S32" s="1574">
        <f t="shared" si="12"/>
        <v>100</v>
      </c>
      <c r="T32" s="1573" t="s">
        <v>8</v>
      </c>
      <c r="U32" s="1574">
        <f t="shared" si="13"/>
        <v>100</v>
      </c>
      <c r="V32" s="1573" t="s">
        <v>8</v>
      </c>
      <c r="W32" s="1574">
        <f t="shared" si="14"/>
        <v>100</v>
      </c>
      <c r="X32" s="1567"/>
      <c r="Y32" s="3430" t="s">
        <v>550</v>
      </c>
      <c r="Z32" s="1575" t="str">
        <f t="shared" si="15"/>
        <v>商业类型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30"/>
      <c r="Q33" s="1605" t="str">
        <f t="shared" si="11"/>
        <v>项目建筑规模</v>
      </c>
      <c r="R33" s="1577" t="s">
        <v>8</v>
      </c>
      <c r="S33" s="1578" t="e">
        <f t="shared" si="12"/>
        <v>#N/A</v>
      </c>
      <c r="T33" s="1577" t="s">
        <v>8</v>
      </c>
      <c r="U33" s="1578" t="e">
        <f t="shared" si="13"/>
        <v>#N/A</v>
      </c>
      <c r="V33" s="1577" t="s">
        <v>8</v>
      </c>
      <c r="W33" s="1578" t="e">
        <f t="shared" si="14"/>
        <v>#N/A</v>
      </c>
      <c r="X33" s="1579"/>
      <c r="Y33" s="3430"/>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30"/>
      <c r="Q34" s="1572" t="str">
        <f t="shared" si="11"/>
        <v>建筑结构</v>
      </c>
      <c r="R34" s="1573" t="s">
        <v>8</v>
      </c>
      <c r="S34" s="1574">
        <f t="shared" si="12"/>
        <v>100</v>
      </c>
      <c r="T34" s="1573" t="s">
        <v>8</v>
      </c>
      <c r="U34" s="1574">
        <f t="shared" si="13"/>
        <v>100</v>
      </c>
      <c r="V34" s="1573" t="s">
        <v>8</v>
      </c>
      <c r="W34" s="1574">
        <f t="shared" si="14"/>
        <v>100</v>
      </c>
      <c r="X34" s="1567"/>
      <c r="Y34" s="3430"/>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30"/>
      <c r="Q35" s="1572" t="str">
        <f t="shared" si="11"/>
        <v>公共部分装修</v>
      </c>
      <c r="R35" s="1573" t="s">
        <v>8</v>
      </c>
      <c r="S35" s="1574">
        <f t="shared" si="12"/>
        <v>100</v>
      </c>
      <c r="T35" s="1573" t="s">
        <v>8</v>
      </c>
      <c r="U35" s="1574">
        <f t="shared" si="13"/>
        <v>100</v>
      </c>
      <c r="V35" s="1573" t="s">
        <v>8</v>
      </c>
      <c r="W35" s="1574">
        <f t="shared" si="14"/>
        <v>100</v>
      </c>
      <c r="X35" s="1567"/>
      <c r="Y35" s="3430"/>
      <c r="Z35" s="1575" t="str">
        <f t="shared" si="15"/>
        <v>公共部分装修</v>
      </c>
      <c r="AA35" s="1576">
        <f t="shared" si="3"/>
        <v>1</v>
      </c>
      <c r="AB35" s="1576">
        <f t="shared" si="4"/>
        <v>1</v>
      </c>
      <c r="AC35" s="1576">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30"/>
      <c r="Q36" s="1572" t="str">
        <f t="shared" si="11"/>
        <v>成新度</v>
      </c>
      <c r="R36" s="1573" t="s">
        <v>8</v>
      </c>
      <c r="S36" s="1574" t="e">
        <f t="shared" si="12"/>
        <v>#N/A</v>
      </c>
      <c r="T36" s="1573" t="s">
        <v>8</v>
      </c>
      <c r="U36" s="1574" t="e">
        <f t="shared" si="13"/>
        <v>#N/A</v>
      </c>
      <c r="V36" s="1573" t="s">
        <v>8</v>
      </c>
      <c r="W36" s="1574" t="e">
        <f t="shared" si="14"/>
        <v>#N/A</v>
      </c>
      <c r="X36" s="1567"/>
      <c r="Y36" s="3430"/>
      <c r="Z36" s="1575" t="str">
        <f t="shared" si="15"/>
        <v>成新度</v>
      </c>
      <c r="AA36" s="1576" t="e">
        <f t="shared" si="3"/>
        <v>#N/A</v>
      </c>
      <c r="AB36" s="1576" t="e">
        <f t="shared" si="4"/>
        <v>#N/A</v>
      </c>
      <c r="AC36" s="1576" t="e">
        <f t="shared" si="5"/>
        <v>#N/A</v>
      </c>
    </row>
    <row r="37" spans="1:29" s="1220" customFormat="1" ht="15">
      <c r="A37" s="600"/>
      <c r="B37" s="1896"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30"/>
      <c r="Q37" s="1151" t="str">
        <f t="shared" si="11"/>
        <v>市政基础设施</v>
      </c>
      <c r="R37" s="1568" t="s">
        <v>8</v>
      </c>
      <c r="S37" s="1569">
        <f t="shared" si="12"/>
        <v>100</v>
      </c>
      <c r="T37" s="1568" t="s">
        <v>8</v>
      </c>
      <c r="U37" s="1569">
        <f t="shared" si="13"/>
        <v>100</v>
      </c>
      <c r="V37" s="1568" t="s">
        <v>8</v>
      </c>
      <c r="W37" s="1569">
        <f t="shared" si="14"/>
        <v>100</v>
      </c>
      <c r="X37" s="1570"/>
      <c r="Y37" s="3430"/>
      <c r="Z37" s="1150"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30" t="s">
        <v>766</v>
      </c>
      <c r="Q38" s="1572" t="str">
        <f t="shared" si="11"/>
        <v>业态</v>
      </c>
      <c r="R38" s="1573" t="s">
        <v>8</v>
      </c>
      <c r="S38" s="1574">
        <f t="shared" si="12"/>
        <v>100</v>
      </c>
      <c r="T38" s="1573" t="s">
        <v>8</v>
      </c>
      <c r="U38" s="1574">
        <f t="shared" si="13"/>
        <v>100</v>
      </c>
      <c r="V38" s="1573" t="s">
        <v>8</v>
      </c>
      <c r="W38" s="1574">
        <f t="shared" si="14"/>
        <v>100</v>
      </c>
      <c r="X38" s="1567"/>
      <c r="Y38" s="3430"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30"/>
      <c r="Q39" s="1572" t="str">
        <f t="shared" si="11"/>
        <v>层高</v>
      </c>
      <c r="R39" s="1573" t="s">
        <v>8</v>
      </c>
      <c r="S39" s="1574">
        <f t="shared" si="12"/>
        <v>100</v>
      </c>
      <c r="T39" s="1573" t="s">
        <v>8</v>
      </c>
      <c r="U39" s="1574">
        <f t="shared" si="13"/>
        <v>100</v>
      </c>
      <c r="V39" s="1573" t="s">
        <v>8</v>
      </c>
      <c r="W39" s="1574">
        <f t="shared" si="14"/>
        <v>100</v>
      </c>
      <c r="X39" s="1567"/>
      <c r="Y39" s="3430"/>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30"/>
      <c r="Q40" s="1572" t="str">
        <f t="shared" si="11"/>
        <v>单套建筑面积</v>
      </c>
      <c r="R40" s="1573" t="s">
        <v>8</v>
      </c>
      <c r="S40" s="1574">
        <f t="shared" si="12"/>
        <v>100</v>
      </c>
      <c r="T40" s="1573" t="s">
        <v>8</v>
      </c>
      <c r="U40" s="1574">
        <f t="shared" si="13"/>
        <v>100</v>
      </c>
      <c r="V40" s="1573" t="s">
        <v>8</v>
      </c>
      <c r="W40" s="1574">
        <f t="shared" si="14"/>
        <v>100</v>
      </c>
      <c r="X40" s="1567"/>
      <c r="Y40" s="3430"/>
      <c r="Z40" s="1575" t="str">
        <f t="shared" si="15"/>
        <v>单套建筑面积</v>
      </c>
      <c r="AA40" s="1576">
        <f t="shared" si="3"/>
        <v>1</v>
      </c>
      <c r="AB40" s="1576">
        <f t="shared" si="4"/>
        <v>1</v>
      </c>
      <c r="AC40" s="1576">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30"/>
      <c r="Q41" s="1605" t="str">
        <f t="shared" si="11"/>
        <v>进深比</v>
      </c>
      <c r="R41" s="1577" t="s">
        <v>8</v>
      </c>
      <c r="S41" s="1578">
        <f t="shared" si="12"/>
        <v>100</v>
      </c>
      <c r="T41" s="1577" t="s">
        <v>8</v>
      </c>
      <c r="U41" s="1578">
        <f t="shared" si="13"/>
        <v>100</v>
      </c>
      <c r="V41" s="1577" t="s">
        <v>8</v>
      </c>
      <c r="W41" s="1578">
        <f t="shared" si="14"/>
        <v>100</v>
      </c>
      <c r="X41" s="1579"/>
      <c r="Y41" s="3430"/>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30"/>
      <c r="Q42" s="1572" t="str">
        <f t="shared" si="11"/>
        <v>内部装修</v>
      </c>
      <c r="R42" s="1573" t="s">
        <v>8</v>
      </c>
      <c r="S42" s="1574">
        <f t="shared" si="12"/>
        <v>100</v>
      </c>
      <c r="T42" s="1573" t="s">
        <v>8</v>
      </c>
      <c r="U42" s="1574">
        <f t="shared" si="13"/>
        <v>100</v>
      </c>
      <c r="V42" s="1573" t="s">
        <v>8</v>
      </c>
      <c r="W42" s="1574">
        <f t="shared" si="14"/>
        <v>100</v>
      </c>
      <c r="X42" s="1567"/>
      <c r="Y42" s="3430"/>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30"/>
      <c r="Q43" s="1572" t="str">
        <f t="shared" si="11"/>
        <v>内部装修维护情况</v>
      </c>
      <c r="R43" s="1573" t="s">
        <v>8</v>
      </c>
      <c r="S43" s="1574">
        <f t="shared" si="12"/>
        <v>100</v>
      </c>
      <c r="T43" s="1573" t="s">
        <v>8</v>
      </c>
      <c r="U43" s="1574">
        <f t="shared" si="13"/>
        <v>100</v>
      </c>
      <c r="V43" s="1573" t="s">
        <v>8</v>
      </c>
      <c r="W43" s="1574">
        <f t="shared" si="14"/>
        <v>100</v>
      </c>
      <c r="X43" s="1567"/>
      <c r="Y43" s="3430"/>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30"/>
      <c r="Q44" s="1151">
        <f t="shared" si="11"/>
        <v>111</v>
      </c>
      <c r="R44" s="1568" t="s">
        <v>8</v>
      </c>
      <c r="S44" s="1569">
        <f t="shared" si="12"/>
        <v>100</v>
      </c>
      <c r="T44" s="1568" t="s">
        <v>8</v>
      </c>
      <c r="U44" s="1569">
        <f t="shared" si="13"/>
        <v>100</v>
      </c>
      <c r="V44" s="1568" t="s">
        <v>8</v>
      </c>
      <c r="W44" s="1569">
        <f t="shared" si="14"/>
        <v>100</v>
      </c>
      <c r="X44" s="1570"/>
      <c r="Y44" s="3430"/>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30"/>
      <c r="Q45" s="1572">
        <f t="shared" si="11"/>
        <v>111</v>
      </c>
      <c r="R45" s="1573" t="s">
        <v>8</v>
      </c>
      <c r="S45" s="1574">
        <f t="shared" si="12"/>
        <v>100</v>
      </c>
      <c r="T45" s="1573" t="s">
        <v>8</v>
      </c>
      <c r="U45" s="1574">
        <f t="shared" si="13"/>
        <v>100</v>
      </c>
      <c r="V45" s="1573" t="s">
        <v>8</v>
      </c>
      <c r="W45" s="1574">
        <f t="shared" si="14"/>
        <v>100</v>
      </c>
      <c r="X45" s="1567"/>
      <c r="Y45" s="3430"/>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91"/>
      <c r="Q46" s="1572">
        <f t="shared" si="11"/>
        <v>111</v>
      </c>
      <c r="R46" s="1573" t="s">
        <v>8</v>
      </c>
      <c r="S46" s="1574">
        <f t="shared" si="12"/>
        <v>100</v>
      </c>
      <c r="T46" s="1573" t="s">
        <v>8</v>
      </c>
      <c r="U46" s="1574">
        <f t="shared" si="13"/>
        <v>100</v>
      </c>
      <c r="V46" s="1573" t="s">
        <v>8</v>
      </c>
      <c r="W46" s="1574">
        <f t="shared" si="14"/>
        <v>100</v>
      </c>
      <c r="X46" s="1567"/>
      <c r="Y46" s="3491"/>
      <c r="Z46" s="1575">
        <f t="shared" si="15"/>
        <v>111</v>
      </c>
      <c r="AA46" s="1576">
        <f t="shared" si="3"/>
        <v>1</v>
      </c>
      <c r="AB46" s="1576">
        <f t="shared" si="4"/>
        <v>1</v>
      </c>
      <c r="AC46" s="1576">
        <f t="shared" si="5"/>
        <v>1</v>
      </c>
    </row>
    <row r="47" spans="1:29" ht="15">
      <c r="A47" s="607" t="s">
        <v>736</v>
      </c>
      <c r="B47" s="887"/>
      <c r="C47" s="2628" t="s">
        <v>1</v>
      </c>
      <c r="D47" s="2629"/>
      <c r="E47" s="2630"/>
      <c r="F47" s="2631"/>
      <c r="G47" s="2632"/>
      <c r="H47" s="2633"/>
      <c r="I47" s="2630"/>
      <c r="J47" s="2633"/>
      <c r="K47" s="1611"/>
      <c r="L47" s="2145"/>
      <c r="M47" s="2146"/>
      <c r="N47" s="2135"/>
      <c r="O47" s="2146"/>
      <c r="P47" s="3394" t="str">
        <f>A47</f>
        <v>成交单价（元/平方米）</v>
      </c>
      <c r="Q47" s="3394"/>
      <c r="R47" s="3490">
        <f>E47</f>
        <v>0</v>
      </c>
      <c r="S47" s="3490"/>
      <c r="T47" s="3490">
        <f>G47</f>
        <v>0</v>
      </c>
      <c r="U47" s="3490"/>
      <c r="V47" s="3490">
        <f>I47</f>
        <v>0</v>
      </c>
      <c r="W47" s="3490"/>
      <c r="X47" s="1559"/>
      <c r="Y47" s="1581"/>
      <c r="Z47" s="1559"/>
      <c r="AA47" s="1559"/>
      <c r="AB47" s="1559"/>
      <c r="AC47" s="1559"/>
    </row>
    <row r="48" spans="1:29" ht="15.75" thickBot="1">
      <c r="A48" s="615" t="s">
        <v>2759</v>
      </c>
      <c r="B48" s="888"/>
      <c r="C48" s="2634" t="e">
        <f>R49</f>
        <v>#DIV/0!</v>
      </c>
      <c r="D48" s="2635"/>
      <c r="E48" s="2636" t="e">
        <f>R48</f>
        <v>#DIV/0!</v>
      </c>
      <c r="F48" s="2636"/>
      <c r="G48" s="2634" t="e">
        <f>T48</f>
        <v>#DIV/0!</v>
      </c>
      <c r="H48" s="2635"/>
      <c r="I48" s="2636" t="e">
        <f>V48</f>
        <v>#DIV/0!</v>
      </c>
      <c r="J48" s="2635"/>
      <c r="K48" s="1612"/>
      <c r="L48" s="2145"/>
      <c r="M48" s="2146"/>
      <c r="N48" s="2135"/>
      <c r="O48" s="2146"/>
      <c r="P48" s="3394" t="str">
        <f>A48</f>
        <v>比较价格（元/平方米）</v>
      </c>
      <c r="Q48" s="3394"/>
      <c r="R48" s="3490" t="e">
        <f>IF(F1="售价",ROUND(PRODUCT(R47,AA7:AA46),0),ROUND(PRODUCT(R47,AA7:AA46),1))</f>
        <v>#DIV/0!</v>
      </c>
      <c r="S48" s="3490"/>
      <c r="T48" s="3490" t="e">
        <f>IF(F1="售价",ROUND(PRODUCT(T47,AB7:AB46),0),ROUND(PRODUCT(T47,AB7:AB46),1))</f>
        <v>#DIV/0!</v>
      </c>
      <c r="U48" s="3490"/>
      <c r="V48" s="3490" t="e">
        <f>IF(F1="售价",ROUND(PRODUCT(V47,AC7:AC46),0),ROUND(PRODUCT(V47,AC7:AC46),1))</f>
        <v>#DIV/0!</v>
      </c>
      <c r="W48" s="3490"/>
      <c r="X48" s="1559"/>
      <c r="Y48" s="1559"/>
      <c r="Z48" s="1559"/>
      <c r="AA48" s="1559"/>
      <c r="AB48" s="1559"/>
      <c r="AC48" s="1559"/>
    </row>
    <row r="49" spans="1:29" ht="15.75" thickBot="1">
      <c r="A49" s="621" t="s">
        <v>2928</v>
      </c>
      <c r="B49" s="622"/>
      <c r="C49" s="2637" t="e">
        <f>R49</f>
        <v>#DIV/0!</v>
      </c>
      <c r="D49" s="2637"/>
      <c r="E49" s="2637"/>
      <c r="F49" s="2637"/>
      <c r="G49" s="2637"/>
      <c r="H49" s="2637"/>
      <c r="I49" s="2637"/>
      <c r="J49" s="2637"/>
      <c r="K49" s="1613"/>
      <c r="L49" s="2145"/>
      <c r="M49" s="2146"/>
      <c r="N49" s="2135"/>
      <c r="O49" s="2146"/>
      <c r="P49" s="3391" t="str">
        <f>A49</f>
        <v>估价对象XX用房的比较价格（楼面单价，元/平方米）</v>
      </c>
      <c r="Q49" s="3392"/>
      <c r="R49" s="3489" t="e">
        <f>IF(F1="售价",ROUND(AVERAGE(R48:V48),0),ROUND(AVERAGE(R48:V48),1))</f>
        <v>#DIV/0!</v>
      </c>
      <c r="S49" s="3489"/>
      <c r="T49" s="3489"/>
      <c r="U49" s="3489"/>
      <c r="V49" s="3489"/>
      <c r="W49" s="3489"/>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3" t="str">
        <f>YEAR(C7)&amp;"-"&amp;MONTH(C7)</f>
        <v>2018-10</v>
      </c>
      <c r="D58" s="2805">
        <f>EDATE(C58,-1)</f>
        <v>43344</v>
      </c>
      <c r="E58" s="2805">
        <f t="shared" ref="E58:O58" si="16">EDATE(D58,-1)</f>
        <v>43313</v>
      </c>
      <c r="F58" s="2805">
        <f t="shared" si="16"/>
        <v>43282</v>
      </c>
      <c r="G58" s="2805">
        <f t="shared" si="16"/>
        <v>43252</v>
      </c>
      <c r="H58" s="2805">
        <f t="shared" si="16"/>
        <v>43221</v>
      </c>
      <c r="I58" s="2805">
        <f t="shared" si="16"/>
        <v>43191</v>
      </c>
      <c r="J58" s="2805">
        <f t="shared" si="16"/>
        <v>43160</v>
      </c>
      <c r="K58" s="2805">
        <f t="shared" si="16"/>
        <v>43132</v>
      </c>
      <c r="L58" s="2805">
        <f t="shared" si="16"/>
        <v>43101</v>
      </c>
      <c r="M58" s="2805">
        <f t="shared" si="16"/>
        <v>43070</v>
      </c>
      <c r="N58" s="2805">
        <f t="shared" si="16"/>
        <v>43040</v>
      </c>
      <c r="O58" s="2805">
        <f t="shared" si="16"/>
        <v>43009</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2557</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2558</v>
      </c>
      <c r="C82" s="2599" t="s">
        <v>2559</v>
      </c>
      <c r="D82" s="2599" t="s">
        <v>2560</v>
      </c>
      <c r="E82" s="2599" t="s">
        <v>2561</v>
      </c>
      <c r="F82" s="2599" t="s">
        <v>2562</v>
      </c>
      <c r="G82" s="2599" t="s">
        <v>2563</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2556</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8"/>
      <c r="G1" s="1601" t="s">
        <v>721</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521</v>
      </c>
      <c r="B4" s="513"/>
      <c r="C4" s="3400" t="s">
        <v>522</v>
      </c>
      <c r="D4" s="3401"/>
      <c r="E4" s="3435" t="s">
        <v>523</v>
      </c>
      <c r="F4" s="3436"/>
      <c r="G4" s="3400" t="s">
        <v>524</v>
      </c>
      <c r="H4" s="3401"/>
      <c r="I4" s="3400" t="s">
        <v>525</v>
      </c>
      <c r="J4" s="3401"/>
      <c r="K4" s="514" t="s">
        <v>526</v>
      </c>
      <c r="L4" s="2134"/>
      <c r="M4" s="2135"/>
      <c r="N4" s="2135"/>
      <c r="O4" s="2135"/>
      <c r="P4" s="3493" t="s">
        <v>527</v>
      </c>
      <c r="Q4" s="3403"/>
      <c r="R4" s="3408" t="s">
        <v>523</v>
      </c>
      <c r="S4" s="3409"/>
      <c r="T4" s="3408" t="s">
        <v>524</v>
      </c>
      <c r="U4" s="3409"/>
      <c r="V4" s="3395" t="s">
        <v>525</v>
      </c>
      <c r="W4" s="3395"/>
      <c r="X4" s="1567"/>
      <c r="Y4" s="3408" t="s">
        <v>527</v>
      </c>
      <c r="Z4" s="3409"/>
      <c r="AA4" s="3397" t="s">
        <v>523</v>
      </c>
      <c r="AB4" s="3397" t="s">
        <v>524</v>
      </c>
      <c r="AC4" s="3397" t="s">
        <v>525</v>
      </c>
    </row>
    <row r="5" spans="1:29" ht="15">
      <c r="A5" s="515"/>
      <c r="B5" s="516"/>
      <c r="C5" s="3416" t="s">
        <v>2922</v>
      </c>
      <c r="D5" s="3417"/>
      <c r="E5" s="3437" t="s">
        <v>2923</v>
      </c>
      <c r="F5" s="3438"/>
      <c r="G5" s="3416" t="s">
        <v>2924</v>
      </c>
      <c r="H5" s="3417"/>
      <c r="I5" s="3416" t="s">
        <v>2925</v>
      </c>
      <c r="J5" s="3417"/>
      <c r="K5" s="514"/>
      <c r="L5" s="2134"/>
      <c r="M5" s="2135"/>
      <c r="N5" s="2135"/>
      <c r="O5" s="2135"/>
      <c r="P5" s="3494"/>
      <c r="Q5" s="3405"/>
      <c r="R5" s="3410"/>
      <c r="S5" s="3411"/>
      <c r="T5" s="3410"/>
      <c r="U5" s="3411"/>
      <c r="V5" s="3395"/>
      <c r="W5" s="3395"/>
      <c r="X5" s="1567"/>
      <c r="Y5" s="3410"/>
      <c r="Z5" s="3411"/>
      <c r="AA5" s="3398"/>
      <c r="AB5" s="3398"/>
      <c r="AC5" s="3398"/>
    </row>
    <row r="6" spans="1:29" ht="15.75" thickBot="1">
      <c r="A6" s="517"/>
      <c r="B6" s="518"/>
      <c r="C6" s="3431" t="s">
        <v>2926</v>
      </c>
      <c r="D6" s="3432"/>
      <c r="E6" s="3433" t="s">
        <v>2926</v>
      </c>
      <c r="F6" s="3434"/>
      <c r="G6" s="3431" t="s">
        <v>2926</v>
      </c>
      <c r="H6" s="3432"/>
      <c r="I6" s="3431" t="s">
        <v>2926</v>
      </c>
      <c r="J6" s="3432"/>
      <c r="K6" s="514" t="s">
        <v>528</v>
      </c>
      <c r="L6" s="2134"/>
      <c r="M6" s="2135"/>
      <c r="N6" s="2135"/>
      <c r="O6" s="2135"/>
      <c r="P6" s="3495"/>
      <c r="Q6" s="3407"/>
      <c r="R6" s="3410"/>
      <c r="S6" s="3411"/>
      <c r="T6" s="3412"/>
      <c r="U6" s="3413"/>
      <c r="V6" s="3395"/>
      <c r="W6" s="3395"/>
      <c r="X6" s="1567"/>
      <c r="Y6" s="3412"/>
      <c r="Z6" s="3413"/>
      <c r="AA6" s="3399"/>
      <c r="AB6" s="3399"/>
      <c r="AC6" s="3399"/>
    </row>
    <row r="7" spans="1:29" s="1220" customFormat="1" ht="15.75" thickBot="1">
      <c r="A7" s="2913"/>
      <c r="B7" s="2920" t="s">
        <v>529</v>
      </c>
      <c r="C7" s="519">
        <f>'数据-取费表'!B2</f>
        <v>43402</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26" t="s">
        <v>530</v>
      </c>
      <c r="Q7" s="3426"/>
      <c r="R7" s="1568" t="s">
        <v>8</v>
      </c>
      <c r="S7" s="1569">
        <f t="shared" ref="S7:S15" si="0">F7</f>
        <v>0</v>
      </c>
      <c r="T7" s="1568" t="s">
        <v>8</v>
      </c>
      <c r="U7" s="1569">
        <f t="shared" ref="U7:U15" si="1">H7</f>
        <v>0</v>
      </c>
      <c r="V7" s="1568" t="s">
        <v>8</v>
      </c>
      <c r="W7" s="1569">
        <f t="shared" ref="W7:W15" si="2">J7</f>
        <v>0</v>
      </c>
      <c r="X7" s="1570"/>
      <c r="Y7" s="3424" t="s">
        <v>530</v>
      </c>
      <c r="Z7" s="3425"/>
      <c r="AA7" s="1571" t="e">
        <f>D7/F7</f>
        <v>#DIV/0!</v>
      </c>
      <c r="AB7" s="1571" t="e">
        <f>D7/H7</f>
        <v>#DIV/0!</v>
      </c>
      <c r="AC7" s="1571" t="e">
        <f>D7/J7</f>
        <v>#DIV/0!</v>
      </c>
    </row>
    <row r="8" spans="1:29" s="1220" customFormat="1" ht="15.75" thickBot="1">
      <c r="A8" s="2914"/>
      <c r="B8" s="2921"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26" t="s">
        <v>533</v>
      </c>
      <c r="Q8" s="3425"/>
      <c r="R8" s="1568" t="s">
        <v>8</v>
      </c>
      <c r="S8" s="1569">
        <f t="shared" si="0"/>
        <v>0</v>
      </c>
      <c r="T8" s="1568" t="s">
        <v>8</v>
      </c>
      <c r="U8" s="1569">
        <f t="shared" si="1"/>
        <v>0</v>
      </c>
      <c r="V8" s="1568" t="s">
        <v>8</v>
      </c>
      <c r="W8" s="1569">
        <f t="shared" si="2"/>
        <v>0</v>
      </c>
      <c r="X8" s="1570"/>
      <c r="Y8" s="3424" t="s">
        <v>533</v>
      </c>
      <c r="Z8" s="3425"/>
      <c r="AA8" s="1571" t="e">
        <f t="shared" ref="AA8:AA47" si="3">D8/F8</f>
        <v>#DIV/0!</v>
      </c>
      <c r="AB8" s="1571" t="e">
        <f t="shared" ref="AB8:AB47" si="4">D8/H8</f>
        <v>#DIV/0!</v>
      </c>
      <c r="AC8" s="1571" t="e">
        <f t="shared" ref="AC8:AC47" si="5">D8/J8</f>
        <v>#DIV/0!</v>
      </c>
    </row>
    <row r="9" spans="1:29" s="1220" customFormat="1" ht="15">
      <c r="A9" s="2915"/>
      <c r="B9" s="2922" t="s">
        <v>2755</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94" t="s">
        <v>535</v>
      </c>
      <c r="Q9" s="1151" t="str">
        <f t="shared" ref="Q9:Q15" si="6">B9</f>
        <v>用途</v>
      </c>
      <c r="R9" s="1568" t="s">
        <v>8</v>
      </c>
      <c r="S9" s="1569">
        <f t="shared" si="0"/>
        <v>100</v>
      </c>
      <c r="T9" s="1568" t="s">
        <v>8</v>
      </c>
      <c r="U9" s="1569">
        <f t="shared" si="1"/>
        <v>100</v>
      </c>
      <c r="V9" s="1568" t="s">
        <v>8</v>
      </c>
      <c r="W9" s="1569">
        <f t="shared" si="2"/>
        <v>100</v>
      </c>
      <c r="X9" s="1570"/>
      <c r="Y9" s="3322" t="s">
        <v>536</v>
      </c>
      <c r="Z9" s="1150" t="str">
        <f t="shared" ref="Z9:Z15" si="7">Q9</f>
        <v>用途</v>
      </c>
      <c r="AA9" s="1571">
        <f t="shared" si="3"/>
        <v>1</v>
      </c>
      <c r="AB9" s="1571">
        <f t="shared" si="4"/>
        <v>1</v>
      </c>
      <c r="AC9" s="1571">
        <f t="shared" si="5"/>
        <v>1</v>
      </c>
    </row>
    <row r="10" spans="1:29" s="1338" customFormat="1" ht="27">
      <c r="A10" s="2916"/>
      <c r="B10" s="2921" t="s">
        <v>2756</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94"/>
      <c r="Q10" s="1151" t="str">
        <f t="shared" si="6"/>
        <v>土地使用年限（年）</v>
      </c>
      <c r="R10" s="1568" t="s">
        <v>8</v>
      </c>
      <c r="S10" s="1569">
        <f t="shared" si="0"/>
        <v>100</v>
      </c>
      <c r="T10" s="1568" t="s">
        <v>8</v>
      </c>
      <c r="U10" s="1569">
        <f t="shared" si="1"/>
        <v>100</v>
      </c>
      <c r="V10" s="1568" t="s">
        <v>8</v>
      </c>
      <c r="W10" s="1569">
        <f t="shared" si="2"/>
        <v>100</v>
      </c>
      <c r="X10" s="1570"/>
      <c r="Y10" s="3322"/>
      <c r="Z10" s="1150" t="str">
        <f t="shared" si="7"/>
        <v>土地使用年限（年）</v>
      </c>
      <c r="AA10" s="1571">
        <f t="shared" si="3"/>
        <v>1</v>
      </c>
      <c r="AB10" s="1571">
        <f t="shared" si="4"/>
        <v>1</v>
      </c>
      <c r="AC10" s="1571">
        <f t="shared" si="5"/>
        <v>1</v>
      </c>
    </row>
    <row r="11" spans="1:29" ht="15">
      <c r="A11" s="2917"/>
      <c r="B11" s="2921"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94"/>
      <c r="Q11" s="1151" t="str">
        <f t="shared" si="6"/>
        <v>容积率</v>
      </c>
      <c r="R11" s="1568" t="s">
        <v>8</v>
      </c>
      <c r="S11" s="1569" t="e">
        <f t="shared" si="0"/>
        <v>#N/A</v>
      </c>
      <c r="T11" s="1568" t="s">
        <v>8</v>
      </c>
      <c r="U11" s="1569" t="e">
        <f t="shared" si="1"/>
        <v>#N/A</v>
      </c>
      <c r="V11" s="1568" t="s">
        <v>8</v>
      </c>
      <c r="W11" s="1569" t="e">
        <f t="shared" si="2"/>
        <v>#N/A</v>
      </c>
      <c r="X11" s="1570"/>
      <c r="Y11" s="3322"/>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94"/>
      <c r="Q12" s="1151">
        <f t="shared" si="6"/>
        <v>111</v>
      </c>
      <c r="R12" s="1568" t="s">
        <v>8</v>
      </c>
      <c r="S12" s="1569">
        <f t="shared" si="0"/>
        <v>100</v>
      </c>
      <c r="T12" s="1568" t="s">
        <v>8</v>
      </c>
      <c r="U12" s="1569">
        <f t="shared" si="1"/>
        <v>100</v>
      </c>
      <c r="V12" s="1568" t="s">
        <v>8</v>
      </c>
      <c r="W12" s="1569">
        <f t="shared" si="2"/>
        <v>100</v>
      </c>
      <c r="X12" s="1570"/>
      <c r="Y12" s="3322"/>
      <c r="Z12" s="1150">
        <f t="shared" si="7"/>
        <v>111</v>
      </c>
      <c r="AA12" s="1571">
        <f>D12/F12</f>
        <v>1</v>
      </c>
      <c r="AB12" s="1571">
        <f>D12/H12</f>
        <v>1</v>
      </c>
      <c r="AC12" s="1571">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94"/>
      <c r="Q13" s="1151">
        <f t="shared" si="6"/>
        <v>111</v>
      </c>
      <c r="R13" s="1568" t="s">
        <v>8</v>
      </c>
      <c r="S13" s="1569">
        <f t="shared" si="0"/>
        <v>100</v>
      </c>
      <c r="T13" s="1568" t="s">
        <v>8</v>
      </c>
      <c r="U13" s="1569">
        <f t="shared" si="1"/>
        <v>100</v>
      </c>
      <c r="V13" s="1568" t="s">
        <v>8</v>
      </c>
      <c r="W13" s="1569">
        <f t="shared" si="2"/>
        <v>100</v>
      </c>
      <c r="X13" s="1570"/>
      <c r="Y13" s="3322"/>
      <c r="Z13" s="1150">
        <f t="shared" si="7"/>
        <v>111</v>
      </c>
      <c r="AA13" s="1571">
        <f t="shared" si="3"/>
        <v>1</v>
      </c>
      <c r="AB13" s="1571">
        <f t="shared" si="4"/>
        <v>1</v>
      </c>
      <c r="AC13" s="1571">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94"/>
      <c r="Q14" s="1151">
        <f t="shared" si="6"/>
        <v>111</v>
      </c>
      <c r="R14" s="1568" t="s">
        <v>8</v>
      </c>
      <c r="S14" s="1569">
        <f t="shared" si="0"/>
        <v>100</v>
      </c>
      <c r="T14" s="1568" t="s">
        <v>8</v>
      </c>
      <c r="U14" s="1569">
        <f t="shared" si="1"/>
        <v>100</v>
      </c>
      <c r="V14" s="1568" t="s">
        <v>8</v>
      </c>
      <c r="W14" s="1569">
        <f t="shared" si="2"/>
        <v>100</v>
      </c>
      <c r="X14" s="1570"/>
      <c r="Y14" s="3322"/>
      <c r="Z14" s="1150">
        <f t="shared" si="7"/>
        <v>111</v>
      </c>
      <c r="AA14" s="1571">
        <f t="shared" si="3"/>
        <v>1</v>
      </c>
      <c r="AB14" s="1571">
        <f t="shared" si="4"/>
        <v>1</v>
      </c>
      <c r="AC14" s="1571">
        <f t="shared" si="5"/>
        <v>1</v>
      </c>
    </row>
    <row r="15" spans="1:29" ht="15">
      <c r="A15" s="2911" t="s">
        <v>2753</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27" t="s">
        <v>540</v>
      </c>
      <c r="Q15" s="1572" t="str">
        <f t="shared" si="6"/>
        <v>办公集聚程度</v>
      </c>
      <c r="R15" s="1573" t="s">
        <v>8</v>
      </c>
      <c r="S15" s="1574">
        <f t="shared" si="0"/>
        <v>100</v>
      </c>
      <c r="T15" s="1573" t="s">
        <v>8</v>
      </c>
      <c r="U15" s="1574">
        <f t="shared" si="1"/>
        <v>100</v>
      </c>
      <c r="V15" s="1573" t="s">
        <v>8</v>
      </c>
      <c r="W15" s="1574">
        <f t="shared" si="2"/>
        <v>100</v>
      </c>
      <c r="X15" s="1567"/>
      <c r="Y15" s="3427"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428"/>
      <c r="Q16" s="1572"/>
      <c r="R16" s="1573"/>
      <c r="S16" s="1574"/>
      <c r="T16" s="1573"/>
      <c r="U16" s="1574"/>
      <c r="V16" s="1573"/>
      <c r="W16" s="1574"/>
      <c r="X16" s="1567"/>
      <c r="Y16" s="3428"/>
      <c r="Z16" s="1575"/>
      <c r="AA16" s="1576">
        <v>1</v>
      </c>
      <c r="AB16" s="1576">
        <v>1</v>
      </c>
      <c r="AC16" s="1576">
        <v>1</v>
      </c>
    </row>
    <row r="17" spans="1:29" ht="15">
      <c r="A17" s="532"/>
      <c r="B17" s="560" t="s">
        <v>296</v>
      </c>
      <c r="C17" s="573" t="str">
        <f>估价对象房地状况!C6</f>
        <v>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28"/>
      <c r="Q17" s="1572" t="str">
        <f>B17</f>
        <v>交通便捷度</v>
      </c>
      <c r="R17" s="1573" t="s">
        <v>8</v>
      </c>
      <c r="S17" s="1574">
        <f>F17</f>
        <v>100</v>
      </c>
      <c r="T17" s="1573" t="s">
        <v>8</v>
      </c>
      <c r="U17" s="1574">
        <f>H17</f>
        <v>100</v>
      </c>
      <c r="V17" s="1573" t="s">
        <v>8</v>
      </c>
      <c r="W17" s="1574">
        <f>J17</f>
        <v>100</v>
      </c>
      <c r="X17" s="1567"/>
      <c r="Y17" s="3428"/>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428"/>
      <c r="Q18" s="1572"/>
      <c r="R18" s="1573"/>
      <c r="S18" s="1574"/>
      <c r="T18" s="1573"/>
      <c r="U18" s="1574"/>
      <c r="V18" s="1573"/>
      <c r="W18" s="1574"/>
      <c r="X18" s="1567"/>
      <c r="Y18" s="3428"/>
      <c r="Z18" s="1575"/>
      <c r="AA18" s="1576">
        <v>1</v>
      </c>
      <c r="AB18" s="1576">
        <v>1</v>
      </c>
      <c r="AC18" s="1576">
        <v>1</v>
      </c>
    </row>
    <row r="19" spans="1:29" ht="15">
      <c r="A19" s="532"/>
      <c r="B19" s="2604" t="s">
        <v>2546</v>
      </c>
      <c r="C19" s="573" t="str">
        <f>估价对象房地状况!C7</f>
        <v>较好</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28"/>
      <c r="Q19" s="1572" t="str">
        <f>B19</f>
        <v>公共配套设施</v>
      </c>
      <c r="R19" s="1573" t="s">
        <v>8</v>
      </c>
      <c r="S19" s="1574">
        <f>F19</f>
        <v>100</v>
      </c>
      <c r="T19" s="1573" t="s">
        <v>8</v>
      </c>
      <c r="U19" s="1574">
        <f>H19</f>
        <v>100</v>
      </c>
      <c r="V19" s="1573" t="s">
        <v>8</v>
      </c>
      <c r="W19" s="1574">
        <f>J19</f>
        <v>100</v>
      </c>
      <c r="X19" s="1567"/>
      <c r="Y19" s="3428"/>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428"/>
      <c r="Q20" s="1572"/>
      <c r="R20" s="1573"/>
      <c r="S20" s="1574"/>
      <c r="T20" s="1573"/>
      <c r="U20" s="1574"/>
      <c r="V20" s="1573"/>
      <c r="W20" s="1574"/>
      <c r="X20" s="1567"/>
      <c r="Y20" s="3428"/>
      <c r="Z20" s="1575"/>
      <c r="AA20" s="1576">
        <v>1</v>
      </c>
      <c r="AB20" s="1576">
        <v>1</v>
      </c>
      <c r="AC20" s="1576">
        <v>1</v>
      </c>
    </row>
    <row r="21" spans="1:29" ht="15">
      <c r="A21" s="532"/>
      <c r="B21" s="2592" t="s">
        <v>2558</v>
      </c>
      <c r="C21" s="573" t="str">
        <f>估价对象房地状况!C8</f>
        <v>七通</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28"/>
      <c r="Q21" s="2580" t="str">
        <f>B21</f>
        <v>基础设施水平</v>
      </c>
      <c r="R21" s="1573" t="s">
        <v>8</v>
      </c>
      <c r="S21" s="1574">
        <f>F21</f>
        <v>100</v>
      </c>
      <c r="T21" s="1573" t="s">
        <v>8</v>
      </c>
      <c r="U21" s="1574">
        <f>H21</f>
        <v>100</v>
      </c>
      <c r="V21" s="1573" t="s">
        <v>8</v>
      </c>
      <c r="W21" s="1574">
        <f>J21</f>
        <v>100</v>
      </c>
      <c r="X21" s="2582"/>
      <c r="Y21" s="3428"/>
      <c r="Z21" s="2581"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3"/>
      <c r="L22" s="2143"/>
      <c r="M22" s="2135"/>
      <c r="N22" s="2135"/>
      <c r="O22" s="2135"/>
      <c r="P22" s="3428"/>
      <c r="Q22" s="2580"/>
      <c r="R22" s="1573"/>
      <c r="S22" s="1574"/>
      <c r="T22" s="1573"/>
      <c r="U22" s="1574"/>
      <c r="V22" s="1573"/>
      <c r="W22" s="1574"/>
      <c r="X22" s="2582"/>
      <c r="Y22" s="3428"/>
      <c r="Z22" s="2581"/>
      <c r="AA22" s="1576">
        <v>1</v>
      </c>
      <c r="AB22" s="1576">
        <v>1</v>
      </c>
      <c r="AC22" s="1576">
        <v>1</v>
      </c>
    </row>
    <row r="23" spans="1:29" ht="15">
      <c r="A23" s="532"/>
      <c r="B23" s="560" t="s">
        <v>778</v>
      </c>
      <c r="C23" s="573" t="str">
        <f>估价对象房地状况!C9</f>
        <v>较好</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28"/>
      <c r="Q23" s="1572" t="str">
        <f>B23</f>
        <v>环境质量</v>
      </c>
      <c r="R23" s="1573" t="s">
        <v>8</v>
      </c>
      <c r="S23" s="1574">
        <f>F23</f>
        <v>100</v>
      </c>
      <c r="T23" s="1573" t="s">
        <v>8</v>
      </c>
      <c r="U23" s="1574">
        <f>H23</f>
        <v>100</v>
      </c>
      <c r="V23" s="1573" t="s">
        <v>8</v>
      </c>
      <c r="W23" s="1574">
        <f>J23</f>
        <v>100</v>
      </c>
      <c r="X23" s="1567"/>
      <c r="Y23" s="3428"/>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428"/>
      <c r="Q24" s="1572"/>
      <c r="R24" s="1573"/>
      <c r="S24" s="1574"/>
      <c r="T24" s="1573"/>
      <c r="U24" s="1574"/>
      <c r="V24" s="1573"/>
      <c r="W24" s="1574"/>
      <c r="X24" s="1567"/>
      <c r="Y24" s="3428"/>
      <c r="Z24" s="1575"/>
      <c r="AA24" s="1576">
        <v>1</v>
      </c>
      <c r="AB24" s="1576">
        <v>1</v>
      </c>
      <c r="AC24" s="1576">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28"/>
      <c r="Q25" s="1572" t="str">
        <f>B25</f>
        <v>毗邻道路的类型与等级</v>
      </c>
      <c r="R25" s="1573" t="s">
        <v>8</v>
      </c>
      <c r="S25" s="1574">
        <f>F25</f>
        <v>100</v>
      </c>
      <c r="T25" s="1573" t="s">
        <v>8</v>
      </c>
      <c r="U25" s="1574">
        <f>H25</f>
        <v>100</v>
      </c>
      <c r="V25" s="1573" t="s">
        <v>8</v>
      </c>
      <c r="W25" s="1574">
        <f>J25</f>
        <v>100</v>
      </c>
      <c r="X25" s="1567"/>
      <c r="Y25" s="3428"/>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428"/>
      <c r="Q26" s="1572"/>
      <c r="R26" s="1573"/>
      <c r="S26" s="1574"/>
      <c r="T26" s="1573"/>
      <c r="U26" s="1574"/>
      <c r="V26" s="1573"/>
      <c r="W26" s="1574"/>
      <c r="X26" s="1567"/>
      <c r="Y26" s="3428"/>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28"/>
      <c r="Q27" s="1572" t="str">
        <f t="shared" ref="Q27:Q47" si="11">B27</f>
        <v>楼层</v>
      </c>
      <c r="R27" s="1573" t="s">
        <v>8</v>
      </c>
      <c r="S27" s="1574">
        <f>F27</f>
        <v>100</v>
      </c>
      <c r="T27" s="1573" t="s">
        <v>8</v>
      </c>
      <c r="U27" s="1574">
        <f>H27</f>
        <v>100</v>
      </c>
      <c r="V27" s="1573" t="s">
        <v>8</v>
      </c>
      <c r="W27" s="1574">
        <f>J27</f>
        <v>100</v>
      </c>
      <c r="X27" s="1567"/>
      <c r="Y27" s="3428"/>
      <c r="Z27" s="1575" t="str">
        <f>Q27</f>
        <v>楼层</v>
      </c>
      <c r="AA27" s="1576">
        <f t="shared" si="3"/>
        <v>1</v>
      </c>
      <c r="AB27" s="1576">
        <f t="shared" si="4"/>
        <v>1</v>
      </c>
      <c r="AC27" s="1576">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28"/>
      <c r="Q28" s="1151" t="str">
        <f t="shared" si="11"/>
        <v>朝向</v>
      </c>
      <c r="R28" s="1568" t="s">
        <v>8</v>
      </c>
      <c r="S28" s="1569">
        <f>F28</f>
        <v>100</v>
      </c>
      <c r="T28" s="1568" t="s">
        <v>8</v>
      </c>
      <c r="U28" s="1569">
        <f>H28</f>
        <v>100</v>
      </c>
      <c r="V28" s="1568" t="s">
        <v>8</v>
      </c>
      <c r="W28" s="1569">
        <f>J28</f>
        <v>100</v>
      </c>
      <c r="X28" s="1570"/>
      <c r="Y28" s="3428"/>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28"/>
      <c r="Q29" s="1572">
        <f t="shared" si="11"/>
        <v>111</v>
      </c>
      <c r="R29" s="1573" t="s">
        <v>8</v>
      </c>
      <c r="S29" s="1574">
        <f t="shared" ref="S29:S47" si="12">F29</f>
        <v>100</v>
      </c>
      <c r="T29" s="1573" t="s">
        <v>8</v>
      </c>
      <c r="U29" s="1574">
        <f t="shared" ref="U29:U47" si="13">H29</f>
        <v>100</v>
      </c>
      <c r="V29" s="1573" t="s">
        <v>8</v>
      </c>
      <c r="W29" s="1574">
        <f t="shared" ref="W29:W47" si="14">J29</f>
        <v>100</v>
      </c>
      <c r="X29" s="1567"/>
      <c r="Y29" s="3428"/>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28"/>
      <c r="Q30" s="1572">
        <f t="shared" si="11"/>
        <v>111</v>
      </c>
      <c r="R30" s="1573" t="s">
        <v>8</v>
      </c>
      <c r="S30" s="1574">
        <f t="shared" si="12"/>
        <v>100</v>
      </c>
      <c r="T30" s="1573" t="s">
        <v>8</v>
      </c>
      <c r="U30" s="1574">
        <f t="shared" si="13"/>
        <v>100</v>
      </c>
      <c r="V30" s="1573" t="s">
        <v>8</v>
      </c>
      <c r="W30" s="1574">
        <f t="shared" si="14"/>
        <v>100</v>
      </c>
      <c r="X30" s="1567"/>
      <c r="Y30" s="3428"/>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28"/>
      <c r="Q31" s="1572">
        <f t="shared" si="11"/>
        <v>111</v>
      </c>
      <c r="R31" s="1573" t="s">
        <v>8</v>
      </c>
      <c r="S31" s="1574">
        <f t="shared" si="12"/>
        <v>100</v>
      </c>
      <c r="T31" s="1573" t="s">
        <v>8</v>
      </c>
      <c r="U31" s="1574">
        <f t="shared" si="13"/>
        <v>100</v>
      </c>
      <c r="V31" s="1573" t="s">
        <v>8</v>
      </c>
      <c r="W31" s="1574">
        <f t="shared" si="14"/>
        <v>100</v>
      </c>
      <c r="X31" s="1567"/>
      <c r="Y31" s="3428"/>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28"/>
      <c r="Q32" s="1572">
        <f t="shared" si="11"/>
        <v>111</v>
      </c>
      <c r="R32" s="1573" t="s">
        <v>8</v>
      </c>
      <c r="S32" s="1574">
        <f t="shared" si="12"/>
        <v>100</v>
      </c>
      <c r="T32" s="1573" t="s">
        <v>8</v>
      </c>
      <c r="U32" s="1574">
        <f t="shared" si="13"/>
        <v>100</v>
      </c>
      <c r="V32" s="1573" t="s">
        <v>8</v>
      </c>
      <c r="W32" s="1574">
        <f t="shared" si="14"/>
        <v>100</v>
      </c>
      <c r="X32" s="1567"/>
      <c r="Y32" s="3428"/>
      <c r="Z32" s="1575">
        <f t="shared" si="15"/>
        <v>111</v>
      </c>
      <c r="AA32" s="1576">
        <f t="shared" si="3"/>
        <v>1</v>
      </c>
      <c r="AB32" s="1576">
        <f t="shared" si="4"/>
        <v>1</v>
      </c>
      <c r="AC32" s="1576">
        <f t="shared" si="5"/>
        <v>1</v>
      </c>
    </row>
    <row r="33" spans="1:29" ht="15">
      <c r="A33" s="2908"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29" t="s">
        <v>550</v>
      </c>
      <c r="Q33" s="1572" t="str">
        <f t="shared" si="11"/>
        <v>建筑类型</v>
      </c>
      <c r="R33" s="1573" t="s">
        <v>8</v>
      </c>
      <c r="S33" s="1574">
        <f t="shared" si="12"/>
        <v>100</v>
      </c>
      <c r="T33" s="1573" t="s">
        <v>8</v>
      </c>
      <c r="U33" s="1574">
        <f t="shared" si="13"/>
        <v>100</v>
      </c>
      <c r="V33" s="1573" t="s">
        <v>8</v>
      </c>
      <c r="W33" s="1574">
        <f t="shared" si="14"/>
        <v>100</v>
      </c>
      <c r="X33" s="1567"/>
      <c r="Y33" s="3430" t="s">
        <v>550</v>
      </c>
      <c r="Z33" s="1575" t="str">
        <f t="shared" si="15"/>
        <v>建筑类型</v>
      </c>
      <c r="AA33" s="1576">
        <f t="shared" si="3"/>
        <v>1</v>
      </c>
      <c r="AB33" s="1576">
        <f t="shared" si="4"/>
        <v>1</v>
      </c>
      <c r="AC33" s="1576">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30"/>
      <c r="Q34" s="1605" t="str">
        <f t="shared" si="11"/>
        <v>项目建筑规模</v>
      </c>
      <c r="R34" s="1577" t="s">
        <v>8</v>
      </c>
      <c r="S34" s="1578" t="e">
        <f t="shared" si="12"/>
        <v>#N/A</v>
      </c>
      <c r="T34" s="1577" t="s">
        <v>8</v>
      </c>
      <c r="U34" s="1578" t="e">
        <f t="shared" si="13"/>
        <v>#N/A</v>
      </c>
      <c r="V34" s="1577" t="s">
        <v>8</v>
      </c>
      <c r="W34" s="1578" t="e">
        <f t="shared" si="14"/>
        <v>#N/A</v>
      </c>
      <c r="X34" s="1579"/>
      <c r="Y34" s="3430"/>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30"/>
      <c r="Q35" s="1572" t="str">
        <f t="shared" si="11"/>
        <v>建筑结构</v>
      </c>
      <c r="R35" s="1573" t="s">
        <v>8</v>
      </c>
      <c r="S35" s="1574">
        <f t="shared" si="12"/>
        <v>100</v>
      </c>
      <c r="T35" s="1573" t="s">
        <v>8</v>
      </c>
      <c r="U35" s="1574">
        <f t="shared" si="13"/>
        <v>100</v>
      </c>
      <c r="V35" s="1573" t="s">
        <v>8</v>
      </c>
      <c r="W35" s="1574">
        <f t="shared" si="14"/>
        <v>100</v>
      </c>
      <c r="X35" s="1567"/>
      <c r="Y35" s="3430"/>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30"/>
      <c r="Q36" s="1572" t="str">
        <f t="shared" si="11"/>
        <v>公共部分装修</v>
      </c>
      <c r="R36" s="1573" t="s">
        <v>8</v>
      </c>
      <c r="S36" s="1574">
        <f t="shared" si="12"/>
        <v>100</v>
      </c>
      <c r="T36" s="1573" t="s">
        <v>8</v>
      </c>
      <c r="U36" s="1574">
        <f t="shared" si="13"/>
        <v>100</v>
      </c>
      <c r="V36" s="1573" t="s">
        <v>8</v>
      </c>
      <c r="W36" s="1574">
        <f t="shared" si="14"/>
        <v>100</v>
      </c>
      <c r="X36" s="1567"/>
      <c r="Y36" s="3430"/>
      <c r="Z36" s="1575" t="str">
        <f t="shared" si="15"/>
        <v>公共部分装修</v>
      </c>
      <c r="AA36" s="1576">
        <f t="shared" si="3"/>
        <v>1</v>
      </c>
      <c r="AB36" s="1576">
        <f t="shared" si="4"/>
        <v>1</v>
      </c>
      <c r="AC36" s="1576">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30"/>
      <c r="Q37" s="1572" t="str">
        <f t="shared" si="11"/>
        <v>成新度</v>
      </c>
      <c r="R37" s="1573" t="s">
        <v>8</v>
      </c>
      <c r="S37" s="1574" t="e">
        <f t="shared" si="12"/>
        <v>#N/A</v>
      </c>
      <c r="T37" s="1573" t="s">
        <v>8</v>
      </c>
      <c r="U37" s="1574" t="e">
        <f t="shared" si="13"/>
        <v>#N/A</v>
      </c>
      <c r="V37" s="1573" t="s">
        <v>8</v>
      </c>
      <c r="W37" s="1574" t="e">
        <f t="shared" si="14"/>
        <v>#N/A</v>
      </c>
      <c r="X37" s="1567"/>
      <c r="Y37" s="3430"/>
      <c r="Z37" s="1575" t="str">
        <f t="shared" si="15"/>
        <v>成新度</v>
      </c>
      <c r="AA37" s="1576" t="e">
        <f t="shared" si="3"/>
        <v>#N/A</v>
      </c>
      <c r="AB37" s="1576" t="e">
        <f t="shared" si="4"/>
        <v>#N/A</v>
      </c>
      <c r="AC37" s="1576"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30"/>
      <c r="Q38" s="1151" t="str">
        <f t="shared" si="11"/>
        <v>写字楼等级</v>
      </c>
      <c r="R38" s="1568" t="s">
        <v>8</v>
      </c>
      <c r="S38" s="1569">
        <f t="shared" si="12"/>
        <v>100</v>
      </c>
      <c r="T38" s="1568" t="s">
        <v>8</v>
      </c>
      <c r="U38" s="1569">
        <f t="shared" si="13"/>
        <v>100</v>
      </c>
      <c r="V38" s="1568" t="s">
        <v>8</v>
      </c>
      <c r="W38" s="1569">
        <f t="shared" si="14"/>
        <v>100</v>
      </c>
      <c r="X38" s="1570"/>
      <c r="Y38" s="3430"/>
      <c r="Z38" s="1150"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30" t="s">
        <v>550</v>
      </c>
      <c r="Q39" s="1572" t="str">
        <f t="shared" si="11"/>
        <v>物业管理</v>
      </c>
      <c r="R39" s="1573" t="s">
        <v>8</v>
      </c>
      <c r="S39" s="1574">
        <f t="shared" si="12"/>
        <v>100</v>
      </c>
      <c r="T39" s="1573" t="s">
        <v>8</v>
      </c>
      <c r="U39" s="1574">
        <f t="shared" si="13"/>
        <v>100</v>
      </c>
      <c r="V39" s="1573" t="s">
        <v>8</v>
      </c>
      <c r="W39" s="1574">
        <f t="shared" si="14"/>
        <v>100</v>
      </c>
      <c r="X39" s="1567"/>
      <c r="Y39" s="3430" t="s">
        <v>550</v>
      </c>
      <c r="Z39" s="1575" t="str">
        <f t="shared" si="15"/>
        <v>物业管理</v>
      </c>
      <c r="AA39" s="1576">
        <f t="shared" si="3"/>
        <v>1</v>
      </c>
      <c r="AB39" s="1576">
        <f t="shared" si="4"/>
        <v>1</v>
      </c>
      <c r="AC39" s="1576">
        <f t="shared" si="5"/>
        <v>1</v>
      </c>
    </row>
    <row r="40" spans="1:29" ht="15">
      <c r="A40" s="594"/>
      <c r="B40" s="1896"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30"/>
      <c r="Q40" s="1572" t="str">
        <f t="shared" si="11"/>
        <v>市政基础设施</v>
      </c>
      <c r="R40" s="1573" t="s">
        <v>8</v>
      </c>
      <c r="S40" s="1574">
        <f t="shared" si="12"/>
        <v>100</v>
      </c>
      <c r="T40" s="1573" t="s">
        <v>8</v>
      </c>
      <c r="U40" s="1574">
        <f t="shared" si="13"/>
        <v>100</v>
      </c>
      <c r="V40" s="1573" t="s">
        <v>8</v>
      </c>
      <c r="W40" s="1574">
        <f t="shared" si="14"/>
        <v>100</v>
      </c>
      <c r="X40" s="1567"/>
      <c r="Y40" s="3430"/>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30"/>
      <c r="Q41" s="1572" t="str">
        <f t="shared" si="11"/>
        <v>层高</v>
      </c>
      <c r="R41" s="1573" t="s">
        <v>8</v>
      </c>
      <c r="S41" s="1574">
        <f t="shared" si="12"/>
        <v>100</v>
      </c>
      <c r="T41" s="1573" t="s">
        <v>8</v>
      </c>
      <c r="U41" s="1574">
        <f t="shared" si="13"/>
        <v>100</v>
      </c>
      <c r="V41" s="1573" t="s">
        <v>8</v>
      </c>
      <c r="W41" s="1574">
        <f t="shared" si="14"/>
        <v>100</v>
      </c>
      <c r="X41" s="1567"/>
      <c r="Y41" s="3430"/>
      <c r="Z41" s="1575" t="str">
        <f t="shared" si="15"/>
        <v>层高</v>
      </c>
      <c r="AA41" s="1576">
        <f t="shared" si="3"/>
        <v>1</v>
      </c>
      <c r="AB41" s="1576">
        <f t="shared" si="4"/>
        <v>1</v>
      </c>
      <c r="AC41" s="1576">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30"/>
      <c r="Q42" s="1605" t="str">
        <f t="shared" si="11"/>
        <v>单套建筑面积</v>
      </c>
      <c r="R42" s="1577" t="s">
        <v>8</v>
      </c>
      <c r="S42" s="1578">
        <f t="shared" si="12"/>
        <v>100</v>
      </c>
      <c r="T42" s="1577" t="s">
        <v>8</v>
      </c>
      <c r="U42" s="1578">
        <f t="shared" si="13"/>
        <v>100</v>
      </c>
      <c r="V42" s="1577" t="s">
        <v>8</v>
      </c>
      <c r="W42" s="1578">
        <f t="shared" si="14"/>
        <v>100</v>
      </c>
      <c r="X42" s="1579"/>
      <c r="Y42" s="3430"/>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30"/>
      <c r="Q43" s="1572" t="str">
        <f t="shared" si="11"/>
        <v>内部装修</v>
      </c>
      <c r="R43" s="1573" t="s">
        <v>8</v>
      </c>
      <c r="S43" s="1574">
        <f t="shared" si="12"/>
        <v>100</v>
      </c>
      <c r="T43" s="1573" t="s">
        <v>8</v>
      </c>
      <c r="U43" s="1574">
        <f t="shared" si="13"/>
        <v>100</v>
      </c>
      <c r="V43" s="1573" t="s">
        <v>8</v>
      </c>
      <c r="W43" s="1574">
        <f t="shared" si="14"/>
        <v>100</v>
      </c>
      <c r="X43" s="1567"/>
      <c r="Y43" s="3430"/>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30"/>
      <c r="Q44" s="1572" t="str">
        <f t="shared" si="11"/>
        <v>内部装修维护情况</v>
      </c>
      <c r="R44" s="1573" t="s">
        <v>8</v>
      </c>
      <c r="S44" s="1574">
        <f t="shared" si="12"/>
        <v>100</v>
      </c>
      <c r="T44" s="1573" t="s">
        <v>8</v>
      </c>
      <c r="U44" s="1574">
        <f t="shared" si="13"/>
        <v>100</v>
      </c>
      <c r="V44" s="1573" t="s">
        <v>8</v>
      </c>
      <c r="W44" s="1574">
        <f t="shared" si="14"/>
        <v>100</v>
      </c>
      <c r="X44" s="1567"/>
      <c r="Y44" s="3430"/>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30"/>
      <c r="Q45" s="1151">
        <f t="shared" si="11"/>
        <v>111</v>
      </c>
      <c r="R45" s="1568" t="s">
        <v>8</v>
      </c>
      <c r="S45" s="1569">
        <f t="shared" si="12"/>
        <v>100</v>
      </c>
      <c r="T45" s="1568" t="s">
        <v>8</v>
      </c>
      <c r="U45" s="1569">
        <f t="shared" si="13"/>
        <v>100</v>
      </c>
      <c r="V45" s="1568" t="s">
        <v>8</v>
      </c>
      <c r="W45" s="1569">
        <f t="shared" si="14"/>
        <v>100</v>
      </c>
      <c r="X45" s="1570"/>
      <c r="Y45" s="3430"/>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30"/>
      <c r="Q46" s="1572">
        <f t="shared" si="11"/>
        <v>111</v>
      </c>
      <c r="R46" s="1573" t="s">
        <v>8</v>
      </c>
      <c r="S46" s="1574">
        <f t="shared" si="12"/>
        <v>100</v>
      </c>
      <c r="T46" s="1573" t="s">
        <v>8</v>
      </c>
      <c r="U46" s="1574">
        <f t="shared" si="13"/>
        <v>100</v>
      </c>
      <c r="V46" s="1573" t="s">
        <v>8</v>
      </c>
      <c r="W46" s="1574">
        <f t="shared" si="14"/>
        <v>100</v>
      </c>
      <c r="X46" s="1567"/>
      <c r="Y46" s="3430"/>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91"/>
      <c r="Q47" s="1572">
        <f t="shared" si="11"/>
        <v>111</v>
      </c>
      <c r="R47" s="1573" t="s">
        <v>8</v>
      </c>
      <c r="S47" s="1574">
        <f t="shared" si="12"/>
        <v>100</v>
      </c>
      <c r="T47" s="1573" t="s">
        <v>8</v>
      </c>
      <c r="U47" s="1574">
        <f t="shared" si="13"/>
        <v>100</v>
      </c>
      <c r="V47" s="1573" t="s">
        <v>8</v>
      </c>
      <c r="W47" s="1574">
        <f t="shared" si="14"/>
        <v>100</v>
      </c>
      <c r="X47" s="1567"/>
      <c r="Y47" s="3491"/>
      <c r="Z47" s="1575">
        <f t="shared" si="15"/>
        <v>111</v>
      </c>
      <c r="AA47" s="1576">
        <f t="shared" si="3"/>
        <v>1</v>
      </c>
      <c r="AB47" s="1576">
        <f t="shared" si="4"/>
        <v>1</v>
      </c>
      <c r="AC47" s="1576">
        <f t="shared" si="5"/>
        <v>1</v>
      </c>
    </row>
    <row r="48" spans="1:29" ht="15">
      <c r="A48" s="607" t="s">
        <v>736</v>
      </c>
      <c r="B48" s="887"/>
      <c r="C48" s="2628" t="s">
        <v>1</v>
      </c>
      <c r="D48" s="2629"/>
      <c r="E48" s="2630"/>
      <c r="F48" s="2631"/>
      <c r="G48" s="2632"/>
      <c r="H48" s="2633"/>
      <c r="I48" s="2630"/>
      <c r="J48" s="2633"/>
      <c r="K48" s="1611"/>
      <c r="L48" s="2145"/>
      <c r="M48" s="2135"/>
      <c r="N48" s="2135"/>
      <c r="O48" s="2135"/>
      <c r="P48" s="3392" t="str">
        <f>A48</f>
        <v>成交单价（元/平方米）</v>
      </c>
      <c r="Q48" s="3394"/>
      <c r="R48" s="3490">
        <f>E48</f>
        <v>0</v>
      </c>
      <c r="S48" s="3490"/>
      <c r="T48" s="3490">
        <f>G48</f>
        <v>0</v>
      </c>
      <c r="U48" s="3490"/>
      <c r="V48" s="3490">
        <f>I48</f>
        <v>0</v>
      </c>
      <c r="W48" s="3490"/>
      <c r="X48" s="1559"/>
      <c r="Y48" s="1581"/>
      <c r="Z48" s="1559"/>
      <c r="AA48" s="1559"/>
      <c r="AB48" s="1559"/>
      <c r="AC48" s="1559"/>
    </row>
    <row r="49" spans="1:29" ht="15.75" thickBot="1">
      <c r="A49" s="615" t="s">
        <v>2759</v>
      </c>
      <c r="B49" s="888"/>
      <c r="C49" s="2634" t="e">
        <f>R50</f>
        <v>#DIV/0!</v>
      </c>
      <c r="D49" s="2635"/>
      <c r="E49" s="2636" t="e">
        <f>R49</f>
        <v>#DIV/0!</v>
      </c>
      <c r="F49" s="2636"/>
      <c r="G49" s="2634" t="e">
        <f>T49</f>
        <v>#DIV/0!</v>
      </c>
      <c r="H49" s="2635"/>
      <c r="I49" s="2636" t="e">
        <f>V49</f>
        <v>#DIV/0!</v>
      </c>
      <c r="J49" s="2635"/>
      <c r="K49" s="1612"/>
      <c r="L49" s="2145"/>
      <c r="M49" s="2135"/>
      <c r="N49" s="2135"/>
      <c r="O49" s="2135"/>
      <c r="P49" s="3392" t="str">
        <f>A49</f>
        <v>比较价格（元/平方米）</v>
      </c>
      <c r="Q49" s="3394"/>
      <c r="R49" s="3490" t="e">
        <f>IF(F1="售价",ROUND(PRODUCT(R48,AA7:AA47),0),ROUND(PRODUCT(R48,AA7:AA47),1))</f>
        <v>#DIV/0!</v>
      </c>
      <c r="S49" s="3490"/>
      <c r="T49" s="3490" t="e">
        <f>IF(F1="售价",ROUND(PRODUCT(T48,AB7:AB47),0),ROUND(PRODUCT(T48,AB7:AB47),1))</f>
        <v>#DIV/0!</v>
      </c>
      <c r="U49" s="3490"/>
      <c r="V49" s="3490" t="e">
        <f>IF(F1="售价",ROUND(PRODUCT(V48,AC7:AC47),0),ROUND(PRODUCT(V48,AC7:AC47),1))</f>
        <v>#DIV/0!</v>
      </c>
      <c r="W49" s="3490"/>
      <c r="X49" s="1559"/>
      <c r="Y49" s="1559"/>
      <c r="Z49" s="1559"/>
      <c r="AA49" s="1559"/>
      <c r="AB49" s="1559"/>
      <c r="AC49" s="1559"/>
    </row>
    <row r="50" spans="1:29" ht="15.75" thickBot="1">
      <c r="A50" s="621" t="s">
        <v>2928</v>
      </c>
      <c r="B50" s="622"/>
      <c r="C50" s="2637" t="e">
        <f>R50</f>
        <v>#DIV/0!</v>
      </c>
      <c r="D50" s="2637"/>
      <c r="E50" s="2637"/>
      <c r="F50" s="2637"/>
      <c r="G50" s="2637"/>
      <c r="H50" s="2637"/>
      <c r="I50" s="2637"/>
      <c r="J50" s="2637"/>
      <c r="K50" s="1613"/>
      <c r="L50" s="2145"/>
      <c r="M50" s="2135"/>
      <c r="N50" s="2135"/>
      <c r="O50" s="2135"/>
      <c r="P50" s="3492" t="str">
        <f>A50</f>
        <v>估价对象XX用房的比较价格（楼面单价，元/平方米）</v>
      </c>
      <c r="Q50" s="3392"/>
      <c r="R50" s="3489" t="e">
        <f>IF(F1="售价",ROUND(AVERAGE(R49:V49),0),ROUND(AVERAGE(R49:V49),1))</f>
        <v>#DIV/0!</v>
      </c>
      <c r="S50" s="3489"/>
      <c r="T50" s="3489"/>
      <c r="U50" s="3489"/>
      <c r="V50" s="3489"/>
      <c r="W50" s="3489"/>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529</v>
      </c>
      <c r="B59" s="646"/>
      <c r="C59" s="2803" t="str">
        <f>YEAR(C7)&amp;"-"&amp;MONTH(C7)</f>
        <v>2018-10</v>
      </c>
      <c r="D59" s="2805">
        <f>EDATE(C59,-1)</f>
        <v>43344</v>
      </c>
      <c r="E59" s="2805">
        <f t="shared" ref="E59:O59" si="16">EDATE(D59,-1)</f>
        <v>43313</v>
      </c>
      <c r="F59" s="2805">
        <f t="shared" si="16"/>
        <v>43282</v>
      </c>
      <c r="G59" s="2805">
        <f t="shared" si="16"/>
        <v>43252</v>
      </c>
      <c r="H59" s="2805">
        <f t="shared" si="16"/>
        <v>43221</v>
      </c>
      <c r="I59" s="2805">
        <f t="shared" si="16"/>
        <v>43191</v>
      </c>
      <c r="J59" s="2805">
        <f t="shared" si="16"/>
        <v>43160</v>
      </c>
      <c r="K59" s="2805">
        <f t="shared" si="16"/>
        <v>43132</v>
      </c>
      <c r="L59" s="2805">
        <f t="shared" si="16"/>
        <v>43101</v>
      </c>
      <c r="M59" s="2805">
        <f t="shared" si="16"/>
        <v>43070</v>
      </c>
      <c r="N59" s="2805">
        <f t="shared" si="16"/>
        <v>43040</v>
      </c>
      <c r="O59" s="2805">
        <f t="shared" si="16"/>
        <v>43009</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2557</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8" t="s">
        <v>2558</v>
      </c>
      <c r="C83" s="2599" t="s">
        <v>2559</v>
      </c>
      <c r="D83" s="2599" t="s">
        <v>2560</v>
      </c>
      <c r="E83" s="2599" t="s">
        <v>2561</v>
      </c>
      <c r="F83" s="2599" t="s">
        <v>2562</v>
      </c>
      <c r="G83" s="2599" t="s">
        <v>2563</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2556</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521</v>
      </c>
      <c r="B4" s="513"/>
      <c r="C4" s="3400" t="s">
        <v>522</v>
      </c>
      <c r="D4" s="3401"/>
      <c r="E4" s="3435" t="s">
        <v>523</v>
      </c>
      <c r="F4" s="3436"/>
      <c r="G4" s="3400" t="s">
        <v>524</v>
      </c>
      <c r="H4" s="3401"/>
      <c r="I4" s="3400" t="s">
        <v>525</v>
      </c>
      <c r="J4" s="3401"/>
      <c r="K4" s="514" t="s">
        <v>526</v>
      </c>
      <c r="L4" s="2134"/>
      <c r="M4" s="2135"/>
      <c r="N4" s="2135"/>
      <c r="O4" s="2135"/>
      <c r="P4" s="3402" t="s">
        <v>527</v>
      </c>
      <c r="Q4" s="3403"/>
      <c r="R4" s="3408" t="s">
        <v>523</v>
      </c>
      <c r="S4" s="3409"/>
      <c r="T4" s="3408" t="s">
        <v>524</v>
      </c>
      <c r="U4" s="3409"/>
      <c r="V4" s="3395" t="s">
        <v>525</v>
      </c>
      <c r="W4" s="3395"/>
      <c r="X4" s="1567"/>
      <c r="Y4" s="3408" t="s">
        <v>527</v>
      </c>
      <c r="Z4" s="3409"/>
      <c r="AA4" s="3397" t="s">
        <v>523</v>
      </c>
      <c r="AB4" s="3398" t="s">
        <v>524</v>
      </c>
      <c r="AC4" s="3397" t="s">
        <v>525</v>
      </c>
    </row>
    <row r="5" spans="1:29" ht="15">
      <c r="A5" s="515"/>
      <c r="B5" s="516"/>
      <c r="C5" s="3416" t="s">
        <v>2922</v>
      </c>
      <c r="D5" s="3417"/>
      <c r="E5" s="3437" t="s">
        <v>2923</v>
      </c>
      <c r="F5" s="3438"/>
      <c r="G5" s="3416" t="s">
        <v>2924</v>
      </c>
      <c r="H5" s="3417"/>
      <c r="I5" s="3416" t="s">
        <v>2925</v>
      </c>
      <c r="J5" s="3417"/>
      <c r="K5" s="514"/>
      <c r="L5" s="2134"/>
      <c r="M5" s="2135"/>
      <c r="N5" s="2135"/>
      <c r="O5" s="2135"/>
      <c r="P5" s="3404"/>
      <c r="Q5" s="3405"/>
      <c r="R5" s="3410"/>
      <c r="S5" s="3411"/>
      <c r="T5" s="3410"/>
      <c r="U5" s="3411"/>
      <c r="V5" s="3395"/>
      <c r="W5" s="3395"/>
      <c r="X5" s="1567"/>
      <c r="Y5" s="3410"/>
      <c r="Z5" s="3411"/>
      <c r="AA5" s="3398"/>
      <c r="AB5" s="3398"/>
      <c r="AC5" s="3398"/>
    </row>
    <row r="6" spans="1:29" ht="15.75" thickBot="1">
      <c r="A6" s="517"/>
      <c r="B6" s="518"/>
      <c r="C6" s="3431" t="s">
        <v>2926</v>
      </c>
      <c r="D6" s="3432"/>
      <c r="E6" s="3433" t="s">
        <v>2926</v>
      </c>
      <c r="F6" s="3434"/>
      <c r="G6" s="3431" t="s">
        <v>2926</v>
      </c>
      <c r="H6" s="3432"/>
      <c r="I6" s="3431" t="s">
        <v>2926</v>
      </c>
      <c r="J6" s="3432"/>
      <c r="K6" s="514" t="s">
        <v>528</v>
      </c>
      <c r="L6" s="2134"/>
      <c r="M6" s="2135"/>
      <c r="N6" s="2135"/>
      <c r="O6" s="2135"/>
      <c r="P6" s="3406"/>
      <c r="Q6" s="3407"/>
      <c r="R6" s="3410"/>
      <c r="S6" s="3411"/>
      <c r="T6" s="3412"/>
      <c r="U6" s="3413"/>
      <c r="V6" s="3395"/>
      <c r="W6" s="3395"/>
      <c r="X6" s="1567"/>
      <c r="Y6" s="3412"/>
      <c r="Z6" s="3413"/>
      <c r="AA6" s="3399"/>
      <c r="AB6" s="3399"/>
      <c r="AC6" s="3399"/>
    </row>
    <row r="7" spans="1:29" s="1220" customFormat="1" ht="15.75" thickBot="1">
      <c r="A7" s="2913"/>
      <c r="B7" s="2920" t="s">
        <v>529</v>
      </c>
      <c r="C7" s="519">
        <f>'数据-取费表'!B2</f>
        <v>43402</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24" t="s">
        <v>530</v>
      </c>
      <c r="Q7" s="3426"/>
      <c r="R7" s="1568" t="s">
        <v>8</v>
      </c>
      <c r="S7" s="1569">
        <f t="shared" ref="S7:S15" si="0">F7</f>
        <v>0</v>
      </c>
      <c r="T7" s="1568" t="s">
        <v>8</v>
      </c>
      <c r="U7" s="1569">
        <f t="shared" ref="U7:U15" si="1">H7</f>
        <v>0</v>
      </c>
      <c r="V7" s="1568" t="s">
        <v>8</v>
      </c>
      <c r="W7" s="1569">
        <f t="shared" ref="W7:W15" si="2">J7</f>
        <v>0</v>
      </c>
      <c r="X7" s="1570"/>
      <c r="Y7" s="3424" t="s">
        <v>530</v>
      </c>
      <c r="Z7" s="3425"/>
      <c r="AA7" s="1571" t="e">
        <f>D7/F7</f>
        <v>#DIV/0!</v>
      </c>
      <c r="AB7" s="1571" t="e">
        <f>D7/H7</f>
        <v>#DIV/0!</v>
      </c>
      <c r="AC7" s="1571" t="e">
        <f>D7/J7</f>
        <v>#DIV/0!</v>
      </c>
    </row>
    <row r="8" spans="1:29" s="1220"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24" t="s">
        <v>533</v>
      </c>
      <c r="Q8" s="3425"/>
      <c r="R8" s="1568" t="s">
        <v>8</v>
      </c>
      <c r="S8" s="1569">
        <f t="shared" si="0"/>
        <v>0</v>
      </c>
      <c r="T8" s="1568" t="s">
        <v>8</v>
      </c>
      <c r="U8" s="1569">
        <f t="shared" si="1"/>
        <v>0</v>
      </c>
      <c r="V8" s="1568" t="s">
        <v>8</v>
      </c>
      <c r="W8" s="1569">
        <f t="shared" si="2"/>
        <v>0</v>
      </c>
      <c r="X8" s="1570"/>
      <c r="Y8" s="3424" t="s">
        <v>533</v>
      </c>
      <c r="Z8" s="3425"/>
      <c r="AA8" s="1571" t="e">
        <f t="shared" ref="AA8:AA40" si="3">D8/F8</f>
        <v>#DIV/0!</v>
      </c>
      <c r="AB8" s="1571" t="e">
        <f t="shared" ref="AB8:AB40" si="4">D8/H8</f>
        <v>#DIV/0!</v>
      </c>
      <c r="AC8" s="1571" t="e">
        <f t="shared" ref="AC8:AC40" si="5">D8/J8</f>
        <v>#DIV/0!</v>
      </c>
    </row>
    <row r="9" spans="1:29" s="1220" customFormat="1" ht="15">
      <c r="A9" s="2915"/>
      <c r="B9" s="2922" t="s">
        <v>2755</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94" t="s">
        <v>535</v>
      </c>
      <c r="Q9" s="1151" t="str">
        <f t="shared" ref="Q9:Q15" si="6">B9</f>
        <v>用途</v>
      </c>
      <c r="R9" s="1568" t="s">
        <v>8</v>
      </c>
      <c r="S9" s="1569">
        <f t="shared" si="0"/>
        <v>100</v>
      </c>
      <c r="T9" s="1568" t="s">
        <v>8</v>
      </c>
      <c r="U9" s="1569">
        <f t="shared" si="1"/>
        <v>100</v>
      </c>
      <c r="V9" s="1568" t="s">
        <v>8</v>
      </c>
      <c r="W9" s="1569">
        <f t="shared" si="2"/>
        <v>100</v>
      </c>
      <c r="X9" s="1570"/>
      <c r="Y9" s="3322" t="s">
        <v>536</v>
      </c>
      <c r="Z9" s="1150" t="str">
        <f t="shared" ref="Z9:Z15" si="7">Q9</f>
        <v>用途</v>
      </c>
      <c r="AA9" s="1571">
        <f t="shared" si="3"/>
        <v>1</v>
      </c>
      <c r="AB9" s="1571">
        <f t="shared" si="4"/>
        <v>1</v>
      </c>
      <c r="AC9" s="1571">
        <f t="shared" si="5"/>
        <v>1</v>
      </c>
    </row>
    <row r="10" spans="1:29" s="1338" customFormat="1" ht="27">
      <c r="A10" s="2916"/>
      <c r="B10" s="2921" t="s">
        <v>2756</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94"/>
      <c r="Q10" s="1151" t="str">
        <f t="shared" si="6"/>
        <v>土地使用年限（年）</v>
      </c>
      <c r="R10" s="1568" t="s">
        <v>8</v>
      </c>
      <c r="S10" s="1569">
        <f t="shared" si="0"/>
        <v>100</v>
      </c>
      <c r="T10" s="1568" t="s">
        <v>8</v>
      </c>
      <c r="U10" s="1569">
        <f t="shared" si="1"/>
        <v>100</v>
      </c>
      <c r="V10" s="1568" t="s">
        <v>8</v>
      </c>
      <c r="W10" s="1569">
        <f t="shared" si="2"/>
        <v>100</v>
      </c>
      <c r="X10" s="1570"/>
      <c r="Y10" s="3322"/>
      <c r="Z10" s="1150" t="str">
        <f t="shared" si="7"/>
        <v>土地使用年限（年）</v>
      </c>
      <c r="AA10" s="1571">
        <f t="shared" si="3"/>
        <v>1</v>
      </c>
      <c r="AB10" s="1571">
        <f t="shared" si="4"/>
        <v>1</v>
      </c>
      <c r="AC10" s="1571">
        <f t="shared" si="5"/>
        <v>1</v>
      </c>
    </row>
    <row r="11" spans="1:29" ht="15">
      <c r="A11" s="2917"/>
      <c r="B11" s="2921"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94"/>
      <c r="Q11" s="1151" t="str">
        <f t="shared" si="6"/>
        <v>容积率</v>
      </c>
      <c r="R11" s="1568" t="s">
        <v>8</v>
      </c>
      <c r="S11" s="1569" t="e">
        <f t="shared" si="0"/>
        <v>#N/A</v>
      </c>
      <c r="T11" s="1568" t="s">
        <v>8</v>
      </c>
      <c r="U11" s="1569" t="e">
        <f t="shared" si="1"/>
        <v>#N/A</v>
      </c>
      <c r="V11" s="1568" t="s">
        <v>8</v>
      </c>
      <c r="W11" s="1569" t="e">
        <f t="shared" si="2"/>
        <v>#N/A</v>
      </c>
      <c r="X11" s="1570"/>
      <c r="Y11" s="3322"/>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94"/>
      <c r="Q12" s="1151">
        <f t="shared" si="6"/>
        <v>111</v>
      </c>
      <c r="R12" s="1568" t="s">
        <v>8</v>
      </c>
      <c r="S12" s="1569">
        <f t="shared" si="0"/>
        <v>100</v>
      </c>
      <c r="T12" s="1568" t="s">
        <v>8</v>
      </c>
      <c r="U12" s="1569">
        <f t="shared" si="1"/>
        <v>100</v>
      </c>
      <c r="V12" s="1568" t="s">
        <v>8</v>
      </c>
      <c r="W12" s="1569">
        <f t="shared" si="2"/>
        <v>100</v>
      </c>
      <c r="X12" s="1570"/>
      <c r="Y12" s="3322"/>
      <c r="Z12" s="1150">
        <f t="shared" si="7"/>
        <v>111</v>
      </c>
      <c r="AA12" s="1571">
        <f>D12/F12</f>
        <v>1</v>
      </c>
      <c r="AB12" s="1571">
        <f>D12/H12</f>
        <v>1</v>
      </c>
      <c r="AC12" s="1571">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94"/>
      <c r="Q13" s="1151">
        <f t="shared" si="6"/>
        <v>111</v>
      </c>
      <c r="R13" s="1568" t="s">
        <v>8</v>
      </c>
      <c r="S13" s="1569">
        <f t="shared" si="0"/>
        <v>100</v>
      </c>
      <c r="T13" s="1568" t="s">
        <v>8</v>
      </c>
      <c r="U13" s="1569">
        <f t="shared" si="1"/>
        <v>100</v>
      </c>
      <c r="V13" s="1568" t="s">
        <v>8</v>
      </c>
      <c r="W13" s="1569">
        <f t="shared" si="2"/>
        <v>100</v>
      </c>
      <c r="X13" s="1570"/>
      <c r="Y13" s="3322"/>
      <c r="Z13" s="1150">
        <f t="shared" si="7"/>
        <v>111</v>
      </c>
      <c r="AA13" s="1571">
        <f t="shared" si="3"/>
        <v>1</v>
      </c>
      <c r="AB13" s="1571">
        <f t="shared" si="4"/>
        <v>1</v>
      </c>
      <c r="AC13" s="1571">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94"/>
      <c r="Q14" s="1151">
        <f t="shared" si="6"/>
        <v>111</v>
      </c>
      <c r="R14" s="1568" t="s">
        <v>8</v>
      </c>
      <c r="S14" s="1569">
        <f t="shared" si="0"/>
        <v>100</v>
      </c>
      <c r="T14" s="1568" t="s">
        <v>8</v>
      </c>
      <c r="U14" s="1569">
        <f t="shared" si="1"/>
        <v>100</v>
      </c>
      <c r="V14" s="1568" t="s">
        <v>8</v>
      </c>
      <c r="W14" s="1569">
        <f t="shared" si="2"/>
        <v>100</v>
      </c>
      <c r="X14" s="1570"/>
      <c r="Y14" s="3322"/>
      <c r="Z14" s="1150">
        <f t="shared" si="7"/>
        <v>111</v>
      </c>
      <c r="AA14" s="1571">
        <f t="shared" si="3"/>
        <v>1</v>
      </c>
      <c r="AB14" s="1571">
        <f t="shared" si="4"/>
        <v>1</v>
      </c>
      <c r="AC14" s="1571">
        <f t="shared" si="5"/>
        <v>1</v>
      </c>
    </row>
    <row r="15" spans="1:29" ht="57">
      <c r="A15" s="2911"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27" t="s">
        <v>540</v>
      </c>
      <c r="Q15" s="1572" t="str">
        <f t="shared" si="6"/>
        <v>产业集聚程度</v>
      </c>
      <c r="R15" s="1573" t="s">
        <v>8</v>
      </c>
      <c r="S15" s="1574">
        <f t="shared" si="0"/>
        <v>100</v>
      </c>
      <c r="T15" s="1573" t="s">
        <v>8</v>
      </c>
      <c r="U15" s="1574">
        <f t="shared" si="1"/>
        <v>100</v>
      </c>
      <c r="V15" s="1573" t="s">
        <v>8</v>
      </c>
      <c r="W15" s="1574">
        <f t="shared" si="2"/>
        <v>100</v>
      </c>
      <c r="X15" s="1567"/>
      <c r="Y15" s="3427"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28"/>
      <c r="Q16" s="1572"/>
      <c r="R16" s="1573"/>
      <c r="S16" s="1574"/>
      <c r="T16" s="1573"/>
      <c r="U16" s="1574"/>
      <c r="V16" s="1573"/>
      <c r="W16" s="1574"/>
      <c r="X16" s="1567"/>
      <c r="Y16" s="3428"/>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28"/>
      <c r="Q17" s="1572" t="str">
        <f>B17</f>
        <v>交通便捷度</v>
      </c>
      <c r="R17" s="1573" t="s">
        <v>8</v>
      </c>
      <c r="S17" s="1574">
        <f>F17</f>
        <v>100</v>
      </c>
      <c r="T17" s="1573" t="s">
        <v>8</v>
      </c>
      <c r="U17" s="1574">
        <f>H17</f>
        <v>100</v>
      </c>
      <c r="V17" s="1573" t="s">
        <v>8</v>
      </c>
      <c r="W17" s="1574">
        <f>J17</f>
        <v>100</v>
      </c>
      <c r="X17" s="1567"/>
      <c r="Y17" s="3428"/>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28"/>
      <c r="Q18" s="1572"/>
      <c r="R18" s="1573"/>
      <c r="S18" s="1574"/>
      <c r="T18" s="1573"/>
      <c r="U18" s="1574"/>
      <c r="V18" s="1573"/>
      <c r="W18" s="1574"/>
      <c r="X18" s="1567"/>
      <c r="Y18" s="3428"/>
      <c r="Z18" s="1575"/>
      <c r="AA18" s="1576">
        <v>1</v>
      </c>
      <c r="AB18" s="1576">
        <v>1</v>
      </c>
      <c r="AC18" s="1576">
        <v>1</v>
      </c>
    </row>
    <row r="19" spans="1:29" ht="42.75">
      <c r="A19" s="532"/>
      <c r="B19" s="2604"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28"/>
      <c r="Q19" s="1572" t="str">
        <f>B19</f>
        <v>公共配套设施</v>
      </c>
      <c r="R19" s="1573" t="s">
        <v>8</v>
      </c>
      <c r="S19" s="1574">
        <f>F19</f>
        <v>100</v>
      </c>
      <c r="T19" s="1573" t="s">
        <v>8</v>
      </c>
      <c r="U19" s="1574">
        <f>H19</f>
        <v>100</v>
      </c>
      <c r="V19" s="1573" t="s">
        <v>8</v>
      </c>
      <c r="W19" s="1574">
        <f>J19</f>
        <v>100</v>
      </c>
      <c r="X19" s="1567"/>
      <c r="Y19" s="3428"/>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428"/>
      <c r="Q20" s="1572"/>
      <c r="R20" s="1573"/>
      <c r="S20" s="1574"/>
      <c r="T20" s="1573"/>
      <c r="U20" s="1574"/>
      <c r="V20" s="1573"/>
      <c r="W20" s="1574"/>
      <c r="X20" s="1567"/>
      <c r="Y20" s="3428"/>
      <c r="Z20" s="1575"/>
      <c r="AA20" s="1576">
        <v>1</v>
      </c>
      <c r="AB20" s="1576">
        <v>1</v>
      </c>
      <c r="AC20" s="1576">
        <v>1</v>
      </c>
    </row>
    <row r="21" spans="1:29" ht="28.5">
      <c r="A21" s="532"/>
      <c r="B21" s="2592"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28"/>
      <c r="Q21" s="2580" t="str">
        <f>B21</f>
        <v>基础设施水平</v>
      </c>
      <c r="R21" s="1573" t="s">
        <v>8</v>
      </c>
      <c r="S21" s="1574">
        <f>F21</f>
        <v>100</v>
      </c>
      <c r="T21" s="1573" t="s">
        <v>8</v>
      </c>
      <c r="U21" s="1574">
        <f>H21</f>
        <v>100</v>
      </c>
      <c r="V21" s="1573" t="s">
        <v>8</v>
      </c>
      <c r="W21" s="1574">
        <f>J21</f>
        <v>100</v>
      </c>
      <c r="X21" s="2582"/>
      <c r="Y21" s="3428"/>
      <c r="Z21" s="2581"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3"/>
      <c r="L22" s="2143"/>
      <c r="M22" s="2135"/>
      <c r="N22" s="2135"/>
      <c r="O22" s="2142"/>
      <c r="P22" s="3428"/>
      <c r="Q22" s="2580"/>
      <c r="R22" s="1573"/>
      <c r="S22" s="1574"/>
      <c r="T22" s="1573"/>
      <c r="U22" s="1574"/>
      <c r="V22" s="1573"/>
      <c r="W22" s="1574"/>
      <c r="X22" s="2582"/>
      <c r="Y22" s="3428"/>
      <c r="Z22" s="2581"/>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28"/>
      <c r="Q23" s="1572" t="str">
        <f>B23</f>
        <v>环境质量</v>
      </c>
      <c r="R23" s="1573" t="s">
        <v>8</v>
      </c>
      <c r="S23" s="1574">
        <f>F23</f>
        <v>100</v>
      </c>
      <c r="T23" s="1573" t="s">
        <v>8</v>
      </c>
      <c r="U23" s="1574">
        <f>H23</f>
        <v>100</v>
      </c>
      <c r="V23" s="1573" t="s">
        <v>8</v>
      </c>
      <c r="W23" s="1574">
        <f>J23</f>
        <v>100</v>
      </c>
      <c r="X23" s="1567"/>
      <c r="Y23" s="3428"/>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428"/>
      <c r="Q24" s="1572"/>
      <c r="R24" s="1573"/>
      <c r="S24" s="1574"/>
      <c r="T24" s="1573"/>
      <c r="U24" s="1574"/>
      <c r="V24" s="1573"/>
      <c r="W24" s="1574"/>
      <c r="X24" s="1567"/>
      <c r="Y24" s="3428"/>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28"/>
      <c r="Q25" s="1572">
        <f>B25</f>
        <v>111</v>
      </c>
      <c r="R25" s="1573" t="s">
        <v>8</v>
      </c>
      <c r="S25" s="1574">
        <f>F25</f>
        <v>100</v>
      </c>
      <c r="T25" s="1573" t="s">
        <v>8</v>
      </c>
      <c r="U25" s="1574">
        <f>H25</f>
        <v>100</v>
      </c>
      <c r="V25" s="1573" t="s">
        <v>8</v>
      </c>
      <c r="W25" s="1574">
        <f>J25</f>
        <v>100</v>
      </c>
      <c r="X25" s="1567"/>
      <c r="Y25" s="3428"/>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28"/>
      <c r="Q26" s="1572">
        <f t="shared" ref="Q26:Q40" si="11">B26</f>
        <v>111</v>
      </c>
      <c r="R26" s="1573" t="s">
        <v>8</v>
      </c>
      <c r="S26" s="1574">
        <f>F26</f>
        <v>100</v>
      </c>
      <c r="T26" s="1573" t="s">
        <v>8</v>
      </c>
      <c r="U26" s="1574">
        <f>H26</f>
        <v>100</v>
      </c>
      <c r="V26" s="1573" t="s">
        <v>8</v>
      </c>
      <c r="W26" s="1574">
        <f>J26</f>
        <v>100</v>
      </c>
      <c r="X26" s="1567"/>
      <c r="Y26" s="3428"/>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28"/>
      <c r="Q27" s="1151">
        <f t="shared" si="11"/>
        <v>111</v>
      </c>
      <c r="R27" s="1568" t="s">
        <v>8</v>
      </c>
      <c r="S27" s="1569">
        <f>F27</f>
        <v>100</v>
      </c>
      <c r="T27" s="1568" t="s">
        <v>8</v>
      </c>
      <c r="U27" s="1569">
        <f>H27</f>
        <v>100</v>
      </c>
      <c r="V27" s="1568" t="s">
        <v>8</v>
      </c>
      <c r="W27" s="1569">
        <f>J27</f>
        <v>100</v>
      </c>
      <c r="X27" s="1570"/>
      <c r="Y27" s="3428"/>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28"/>
      <c r="Q28" s="1572">
        <f t="shared" si="11"/>
        <v>111</v>
      </c>
      <c r="R28" s="1573" t="s">
        <v>8</v>
      </c>
      <c r="S28" s="1574">
        <f t="shared" ref="S28:S40" si="12">F28</f>
        <v>100</v>
      </c>
      <c r="T28" s="1573" t="s">
        <v>8</v>
      </c>
      <c r="U28" s="1574">
        <f t="shared" ref="U28:U40" si="13">H28</f>
        <v>100</v>
      </c>
      <c r="V28" s="1573" t="s">
        <v>8</v>
      </c>
      <c r="W28" s="1574">
        <f t="shared" ref="W28:W40" si="14">J28</f>
        <v>100</v>
      </c>
      <c r="X28" s="1567"/>
      <c r="Y28" s="3428"/>
      <c r="Z28" s="1575">
        <f t="shared" ref="Z28:Z40" si="15">Q28</f>
        <v>111</v>
      </c>
      <c r="AA28" s="1576">
        <f t="shared" si="3"/>
        <v>1</v>
      </c>
      <c r="AB28" s="1576">
        <f t="shared" si="4"/>
        <v>1</v>
      </c>
      <c r="AC28" s="1576">
        <f t="shared" si="5"/>
        <v>1</v>
      </c>
    </row>
    <row r="29" spans="1:29" ht="15">
      <c r="A29" s="2908"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29" t="s">
        <v>550</v>
      </c>
      <c r="Q29" s="1572" t="str">
        <f t="shared" si="11"/>
        <v>建筑类型</v>
      </c>
      <c r="R29" s="1573" t="s">
        <v>8</v>
      </c>
      <c r="S29" s="1574">
        <f t="shared" si="12"/>
        <v>100</v>
      </c>
      <c r="T29" s="1573" t="s">
        <v>8</v>
      </c>
      <c r="U29" s="1574">
        <f t="shared" si="13"/>
        <v>100</v>
      </c>
      <c r="V29" s="1573" t="s">
        <v>8</v>
      </c>
      <c r="W29" s="1574">
        <f t="shared" si="14"/>
        <v>100</v>
      </c>
      <c r="X29" s="1567"/>
      <c r="Y29" s="3430"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30"/>
      <c r="Q30" s="1605" t="str">
        <f t="shared" si="11"/>
        <v>项目建筑规模</v>
      </c>
      <c r="R30" s="1577" t="s">
        <v>8</v>
      </c>
      <c r="S30" s="1578" t="e">
        <f t="shared" si="12"/>
        <v>#N/A</v>
      </c>
      <c r="T30" s="1577" t="s">
        <v>8</v>
      </c>
      <c r="U30" s="1578" t="e">
        <f t="shared" si="13"/>
        <v>#N/A</v>
      </c>
      <c r="V30" s="1577" t="s">
        <v>8</v>
      </c>
      <c r="W30" s="1578" t="e">
        <f t="shared" si="14"/>
        <v>#N/A</v>
      </c>
      <c r="X30" s="1579"/>
      <c r="Y30" s="3430"/>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30"/>
      <c r="Q31" s="1572" t="str">
        <f t="shared" si="11"/>
        <v>建筑结构</v>
      </c>
      <c r="R31" s="1573" t="s">
        <v>8</v>
      </c>
      <c r="S31" s="1574">
        <f t="shared" si="12"/>
        <v>100</v>
      </c>
      <c r="T31" s="1573" t="s">
        <v>8</v>
      </c>
      <c r="U31" s="1574">
        <f t="shared" si="13"/>
        <v>100</v>
      </c>
      <c r="V31" s="1573" t="s">
        <v>8</v>
      </c>
      <c r="W31" s="1574">
        <f t="shared" si="14"/>
        <v>100</v>
      </c>
      <c r="X31" s="1567"/>
      <c r="Y31" s="3430"/>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30"/>
      <c r="Q32" s="1572" t="str">
        <f t="shared" si="11"/>
        <v>公共部分装修</v>
      </c>
      <c r="R32" s="1573" t="s">
        <v>8</v>
      </c>
      <c r="S32" s="1574">
        <f t="shared" si="12"/>
        <v>100</v>
      </c>
      <c r="T32" s="1573" t="s">
        <v>8</v>
      </c>
      <c r="U32" s="1574">
        <f t="shared" si="13"/>
        <v>100</v>
      </c>
      <c r="V32" s="1573" t="s">
        <v>8</v>
      </c>
      <c r="W32" s="1574">
        <f t="shared" si="14"/>
        <v>100</v>
      </c>
      <c r="X32" s="1567"/>
      <c r="Y32" s="3430"/>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30"/>
      <c r="Q33" s="1572" t="str">
        <f t="shared" si="11"/>
        <v>成新度</v>
      </c>
      <c r="R33" s="1573" t="s">
        <v>8</v>
      </c>
      <c r="S33" s="1574" t="e">
        <f t="shared" si="12"/>
        <v>#N/A</v>
      </c>
      <c r="T33" s="1573" t="s">
        <v>8</v>
      </c>
      <c r="U33" s="1574" t="e">
        <f t="shared" si="13"/>
        <v>#N/A</v>
      </c>
      <c r="V33" s="1573" t="s">
        <v>8</v>
      </c>
      <c r="W33" s="1574" t="e">
        <f t="shared" si="14"/>
        <v>#N/A</v>
      </c>
      <c r="X33" s="1567"/>
      <c r="Y33" s="3430"/>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30"/>
      <c r="Q34" s="1151" t="str">
        <f t="shared" si="11"/>
        <v>物业管理</v>
      </c>
      <c r="R34" s="1568" t="s">
        <v>8</v>
      </c>
      <c r="S34" s="1569">
        <f t="shared" si="12"/>
        <v>100</v>
      </c>
      <c r="T34" s="1568" t="s">
        <v>8</v>
      </c>
      <c r="U34" s="1569">
        <f t="shared" si="13"/>
        <v>100</v>
      </c>
      <c r="V34" s="1568" t="s">
        <v>8</v>
      </c>
      <c r="W34" s="1569">
        <f t="shared" si="14"/>
        <v>100</v>
      </c>
      <c r="X34" s="1570"/>
      <c r="Y34" s="3430"/>
      <c r="Z34" s="1150" t="str">
        <f t="shared" si="15"/>
        <v>物业管理</v>
      </c>
      <c r="AA34" s="1571">
        <f t="shared" si="3"/>
        <v>1</v>
      </c>
      <c r="AB34" s="1571">
        <f t="shared" si="4"/>
        <v>1</v>
      </c>
      <c r="AC34" s="1571">
        <f t="shared" si="5"/>
        <v>1</v>
      </c>
    </row>
    <row r="35" spans="1:29" ht="15">
      <c r="A35" s="594"/>
      <c r="B35" s="1896"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30" t="s">
        <v>550</v>
      </c>
      <c r="Q35" s="1572" t="str">
        <f t="shared" si="11"/>
        <v>市政基础设施</v>
      </c>
      <c r="R35" s="1573" t="s">
        <v>8</v>
      </c>
      <c r="S35" s="1574">
        <f t="shared" si="12"/>
        <v>100</v>
      </c>
      <c r="T35" s="1573" t="s">
        <v>8</v>
      </c>
      <c r="U35" s="1574">
        <f t="shared" si="13"/>
        <v>100</v>
      </c>
      <c r="V35" s="1573" t="s">
        <v>8</v>
      </c>
      <c r="W35" s="1574">
        <f t="shared" si="14"/>
        <v>100</v>
      </c>
      <c r="X35" s="1567"/>
      <c r="Y35" s="3430"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30"/>
      <c r="Q36" s="1572" t="str">
        <f t="shared" si="11"/>
        <v>内部装修</v>
      </c>
      <c r="R36" s="1573" t="s">
        <v>8</v>
      </c>
      <c r="S36" s="1574">
        <f t="shared" si="12"/>
        <v>100</v>
      </c>
      <c r="T36" s="1573" t="s">
        <v>8</v>
      </c>
      <c r="U36" s="1574">
        <f t="shared" si="13"/>
        <v>100</v>
      </c>
      <c r="V36" s="1573" t="s">
        <v>8</v>
      </c>
      <c r="W36" s="1574">
        <f t="shared" si="14"/>
        <v>100</v>
      </c>
      <c r="X36" s="1567"/>
      <c r="Y36" s="3430"/>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30"/>
      <c r="Q37" s="1572" t="str">
        <f t="shared" si="11"/>
        <v>内部装修状况</v>
      </c>
      <c r="R37" s="1573" t="s">
        <v>8</v>
      </c>
      <c r="S37" s="1574">
        <f t="shared" si="12"/>
        <v>100</v>
      </c>
      <c r="T37" s="1573" t="s">
        <v>8</v>
      </c>
      <c r="U37" s="1574">
        <f t="shared" si="13"/>
        <v>100</v>
      </c>
      <c r="V37" s="1573" t="s">
        <v>8</v>
      </c>
      <c r="W37" s="1574">
        <f t="shared" si="14"/>
        <v>100</v>
      </c>
      <c r="X37" s="1567"/>
      <c r="Y37" s="3430"/>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30"/>
      <c r="Q38" s="1605">
        <f t="shared" si="11"/>
        <v>111</v>
      </c>
      <c r="R38" s="1577" t="s">
        <v>8</v>
      </c>
      <c r="S38" s="1578">
        <f t="shared" si="12"/>
        <v>100</v>
      </c>
      <c r="T38" s="1577" t="s">
        <v>8</v>
      </c>
      <c r="U38" s="1578">
        <f t="shared" si="13"/>
        <v>100</v>
      </c>
      <c r="V38" s="1577" t="s">
        <v>8</v>
      </c>
      <c r="W38" s="1578">
        <f t="shared" si="14"/>
        <v>100</v>
      </c>
      <c r="X38" s="1579"/>
      <c r="Y38" s="3430"/>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30"/>
      <c r="Q39" s="1572">
        <f t="shared" si="11"/>
        <v>111</v>
      </c>
      <c r="R39" s="1573" t="s">
        <v>8</v>
      </c>
      <c r="S39" s="1574">
        <f t="shared" si="12"/>
        <v>100</v>
      </c>
      <c r="T39" s="1573" t="s">
        <v>8</v>
      </c>
      <c r="U39" s="1574">
        <f t="shared" si="13"/>
        <v>100</v>
      </c>
      <c r="V39" s="1573" t="s">
        <v>8</v>
      </c>
      <c r="W39" s="1574">
        <f t="shared" si="14"/>
        <v>100</v>
      </c>
      <c r="X39" s="1567"/>
      <c r="Y39" s="3430"/>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91"/>
      <c r="Q40" s="1572">
        <f t="shared" si="11"/>
        <v>111</v>
      </c>
      <c r="R40" s="1573" t="s">
        <v>8</v>
      </c>
      <c r="S40" s="1574">
        <f t="shared" si="12"/>
        <v>100</v>
      </c>
      <c r="T40" s="1573" t="s">
        <v>8</v>
      </c>
      <c r="U40" s="1574">
        <f t="shared" si="13"/>
        <v>100</v>
      </c>
      <c r="V40" s="1573" t="s">
        <v>8</v>
      </c>
      <c r="W40" s="1574">
        <f t="shared" si="14"/>
        <v>100</v>
      </c>
      <c r="X40" s="1567"/>
      <c r="Y40" s="3491"/>
      <c r="Z40" s="1575">
        <f t="shared" si="15"/>
        <v>111</v>
      </c>
      <c r="AA40" s="1576">
        <f t="shared" si="3"/>
        <v>1</v>
      </c>
      <c r="AB40" s="1576">
        <f t="shared" si="4"/>
        <v>1</v>
      </c>
      <c r="AC40" s="1576">
        <f t="shared" si="5"/>
        <v>1</v>
      </c>
    </row>
    <row r="41" spans="1:29" ht="15">
      <c r="A41" s="607" t="s">
        <v>736</v>
      </c>
      <c r="B41" s="887"/>
      <c r="C41" s="2628" t="s">
        <v>1</v>
      </c>
      <c r="D41" s="2629"/>
      <c r="E41" s="2630"/>
      <c r="F41" s="2631"/>
      <c r="G41" s="2632"/>
      <c r="H41" s="2633"/>
      <c r="I41" s="2630"/>
      <c r="J41" s="2633"/>
      <c r="K41" s="1611"/>
      <c r="L41" s="2145"/>
      <c r="M41" s="2146"/>
      <c r="N41" s="2135"/>
      <c r="O41" s="2146"/>
      <c r="P41" s="3394" t="str">
        <f>A41</f>
        <v>成交单价（元/平方米）</v>
      </c>
      <c r="Q41" s="3394"/>
      <c r="R41" s="3490">
        <f>E41</f>
        <v>0</v>
      </c>
      <c r="S41" s="3490"/>
      <c r="T41" s="3490">
        <f>G41</f>
        <v>0</v>
      </c>
      <c r="U41" s="3490"/>
      <c r="V41" s="3490">
        <f>I41</f>
        <v>0</v>
      </c>
      <c r="W41" s="3490"/>
      <c r="X41" s="1559"/>
      <c r="Y41" s="1581"/>
      <c r="Z41" s="1559"/>
      <c r="AA41" s="1559"/>
      <c r="AB41" s="1559"/>
      <c r="AC41" s="1559"/>
    </row>
    <row r="42" spans="1:29" ht="15.75" thickBot="1">
      <c r="A42" s="615" t="s">
        <v>2759</v>
      </c>
      <c r="B42" s="888"/>
      <c r="C42" s="2634" t="e">
        <f>R43</f>
        <v>#DIV/0!</v>
      </c>
      <c r="D42" s="2635"/>
      <c r="E42" s="2636" t="e">
        <f>R42</f>
        <v>#DIV/0!</v>
      </c>
      <c r="F42" s="2636"/>
      <c r="G42" s="2634" t="e">
        <f>T42</f>
        <v>#DIV/0!</v>
      </c>
      <c r="H42" s="2635"/>
      <c r="I42" s="2636" t="e">
        <f>V42</f>
        <v>#DIV/0!</v>
      </c>
      <c r="J42" s="2635"/>
      <c r="K42" s="1612"/>
      <c r="L42" s="2145"/>
      <c r="M42" s="2146"/>
      <c r="N42" s="2135"/>
      <c r="O42" s="2146"/>
      <c r="P42" s="3394" t="str">
        <f>A42</f>
        <v>比较价格（元/平方米）</v>
      </c>
      <c r="Q42" s="3394"/>
      <c r="R42" s="3490" t="e">
        <f>IF(F1="售价",ROUND(PRODUCT(R41,AA7:AA40),0),ROUND(PRODUCT(R41,AA7:AA40),1))</f>
        <v>#DIV/0!</v>
      </c>
      <c r="S42" s="3490"/>
      <c r="T42" s="3490" t="e">
        <f>IF(F1="售价",ROUND(PRODUCT(T41,AB7:AB40),0),ROUND(PRODUCT(T41,AB7:AB40),1))</f>
        <v>#DIV/0!</v>
      </c>
      <c r="U42" s="3490"/>
      <c r="V42" s="3490" t="e">
        <f>IF(F1="售价",ROUND(PRODUCT(V41,AC7:AC40),0),ROUND(PRODUCT(V41,AC7:AC40),1))</f>
        <v>#DIV/0!</v>
      </c>
      <c r="W42" s="3490"/>
      <c r="X42" s="1559"/>
      <c r="Y42" s="1559"/>
      <c r="Z42" s="1559"/>
      <c r="AA42" s="1559"/>
      <c r="AB42" s="1559"/>
      <c r="AC42" s="1559"/>
    </row>
    <row r="43" spans="1:29" ht="15.75" thickBot="1">
      <c r="A43" s="621" t="s">
        <v>2928</v>
      </c>
      <c r="B43" s="622"/>
      <c r="C43" s="2637" t="e">
        <f>R43</f>
        <v>#DIV/0!</v>
      </c>
      <c r="D43" s="2637"/>
      <c r="E43" s="2637"/>
      <c r="F43" s="2637"/>
      <c r="G43" s="2637"/>
      <c r="H43" s="2637"/>
      <c r="I43" s="2637"/>
      <c r="J43" s="2637"/>
      <c r="K43" s="1613"/>
      <c r="L43" s="2145"/>
      <c r="M43" s="2146"/>
      <c r="N43" s="2146"/>
      <c r="O43" s="2146"/>
      <c r="P43" s="3391" t="str">
        <f>A43</f>
        <v>估价对象XX用房的比较价格（楼面单价，元/平方米）</v>
      </c>
      <c r="Q43" s="3392"/>
      <c r="R43" s="3489" t="e">
        <f>IF(F1="售价",ROUND(AVERAGE(R42:V42),0),ROUND(AVERAGE(R42:V42),1))</f>
        <v>#DIV/0!</v>
      </c>
      <c r="S43" s="3489"/>
      <c r="T43" s="3489"/>
      <c r="U43" s="3489"/>
      <c r="V43" s="3489"/>
      <c r="W43" s="3489"/>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529</v>
      </c>
      <c r="B52" s="646"/>
      <c r="C52" s="2803" t="str">
        <f>YEAR(C7)&amp;"-"&amp;MONTH(C7)</f>
        <v>2018-10</v>
      </c>
      <c r="D52" s="2805">
        <f>EDATE(C52,-1)</f>
        <v>43344</v>
      </c>
      <c r="E52" s="2805">
        <f t="shared" ref="E52:O52" si="16">EDATE(D52,-1)</f>
        <v>43313</v>
      </c>
      <c r="F52" s="2805">
        <f t="shared" si="16"/>
        <v>43282</v>
      </c>
      <c r="G52" s="2805">
        <f t="shared" si="16"/>
        <v>43252</v>
      </c>
      <c r="H52" s="2805">
        <f t="shared" si="16"/>
        <v>43221</v>
      </c>
      <c r="I52" s="2805">
        <f t="shared" si="16"/>
        <v>43191</v>
      </c>
      <c r="J52" s="2805">
        <f t="shared" si="16"/>
        <v>43160</v>
      </c>
      <c r="K52" s="2805">
        <f t="shared" si="16"/>
        <v>43132</v>
      </c>
      <c r="L52" s="2805">
        <f t="shared" si="16"/>
        <v>43101</v>
      </c>
      <c r="M52" s="2805">
        <f t="shared" si="16"/>
        <v>43070</v>
      </c>
      <c r="N52" s="2805">
        <f t="shared" si="16"/>
        <v>43040</v>
      </c>
      <c r="O52" s="2805">
        <f t="shared" si="16"/>
        <v>43009</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2557</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8" t="s">
        <v>2558</v>
      </c>
      <c r="C76" s="2599" t="s">
        <v>2559</v>
      </c>
      <c r="D76" s="2599" t="s">
        <v>2560</v>
      </c>
      <c r="E76" s="2599" t="s">
        <v>2561</v>
      </c>
      <c r="F76" s="2599" t="s">
        <v>2562</v>
      </c>
      <c r="G76" s="2599" t="s">
        <v>2563</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2556</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00" t="s">
        <v>798</v>
      </c>
      <c r="D4" s="3401"/>
      <c r="E4" s="3400" t="s">
        <v>799</v>
      </c>
      <c r="F4" s="3401"/>
      <c r="G4" s="3400" t="s">
        <v>800</v>
      </c>
      <c r="H4" s="3401"/>
      <c r="I4" s="3400" t="s">
        <v>801</v>
      </c>
      <c r="J4" s="3401"/>
      <c r="K4" s="514" t="s">
        <v>802</v>
      </c>
      <c r="L4" s="2134"/>
      <c r="M4" s="2135"/>
      <c r="N4" s="2135"/>
      <c r="O4" s="2135"/>
      <c r="P4" s="3402" t="s">
        <v>803</v>
      </c>
      <c r="Q4" s="3403"/>
      <c r="R4" s="3408" t="s">
        <v>799</v>
      </c>
      <c r="S4" s="3409"/>
      <c r="T4" s="3408" t="s">
        <v>800</v>
      </c>
      <c r="U4" s="3409"/>
      <c r="V4" s="3395" t="s">
        <v>801</v>
      </c>
      <c r="W4" s="3395"/>
      <c r="X4" s="1567"/>
      <c r="Y4" s="3408" t="s">
        <v>803</v>
      </c>
      <c r="Z4" s="3409"/>
      <c r="AA4" s="3397" t="s">
        <v>799</v>
      </c>
      <c r="AB4" s="3398" t="s">
        <v>800</v>
      </c>
      <c r="AC4" s="3397" t="s">
        <v>801</v>
      </c>
    </row>
    <row r="5" spans="1:29" ht="15">
      <c r="A5" s="515"/>
      <c r="B5" s="516"/>
      <c r="C5" s="3416" t="s">
        <v>2922</v>
      </c>
      <c r="D5" s="3417"/>
      <c r="E5" s="3416" t="s">
        <v>2923</v>
      </c>
      <c r="F5" s="3417"/>
      <c r="G5" s="3416" t="s">
        <v>2924</v>
      </c>
      <c r="H5" s="3417"/>
      <c r="I5" s="3416" t="s">
        <v>2925</v>
      </c>
      <c r="J5" s="3417"/>
      <c r="K5" s="514"/>
      <c r="L5" s="2134"/>
      <c r="M5" s="2135"/>
      <c r="N5" s="2135"/>
      <c r="O5" s="2135"/>
      <c r="P5" s="3404"/>
      <c r="Q5" s="3405"/>
      <c r="R5" s="3410"/>
      <c r="S5" s="3411"/>
      <c r="T5" s="3410"/>
      <c r="U5" s="3411"/>
      <c r="V5" s="3395"/>
      <c r="W5" s="3395"/>
      <c r="X5" s="1567"/>
      <c r="Y5" s="3410"/>
      <c r="Z5" s="3411"/>
      <c r="AA5" s="3398"/>
      <c r="AB5" s="3398"/>
      <c r="AC5" s="3398"/>
    </row>
    <row r="6" spans="1:29" ht="15.75" thickBot="1">
      <c r="A6" s="517"/>
      <c r="B6" s="518"/>
      <c r="C6" s="3431" t="s">
        <v>2926</v>
      </c>
      <c r="D6" s="3432"/>
      <c r="E6" s="3496" t="s">
        <v>2926</v>
      </c>
      <c r="F6" s="3415"/>
      <c r="G6" s="3431" t="s">
        <v>2926</v>
      </c>
      <c r="H6" s="3432"/>
      <c r="I6" s="3431" t="s">
        <v>2926</v>
      </c>
      <c r="J6" s="3432"/>
      <c r="K6" s="514" t="s">
        <v>528</v>
      </c>
      <c r="L6" s="2134"/>
      <c r="M6" s="2135"/>
      <c r="N6" s="2135"/>
      <c r="O6" s="2135"/>
      <c r="P6" s="3406"/>
      <c r="Q6" s="3407"/>
      <c r="R6" s="3410"/>
      <c r="S6" s="3411"/>
      <c r="T6" s="3412"/>
      <c r="U6" s="3413"/>
      <c r="V6" s="3395"/>
      <c r="W6" s="3395"/>
      <c r="X6" s="1567"/>
      <c r="Y6" s="3412"/>
      <c r="Z6" s="3413"/>
      <c r="AA6" s="3399"/>
      <c r="AB6" s="3399"/>
      <c r="AC6" s="3399"/>
    </row>
    <row r="7" spans="1:29" s="1220" customFormat="1" ht="15.75" thickBot="1">
      <c r="A7" s="2913"/>
      <c r="B7" s="2920" t="s">
        <v>529</v>
      </c>
      <c r="C7" s="519">
        <f>'数据-取费表'!B2</f>
        <v>43402</v>
      </c>
      <c r="D7" s="520">
        <v>100</v>
      </c>
      <c r="E7" s="521"/>
      <c r="F7" s="522">
        <f>SUMIF(48:48,YEAR(E7)&amp;"-"&amp;MONTH(E7),49:49)</f>
        <v>0</v>
      </c>
      <c r="G7" s="523"/>
      <c r="H7" s="520">
        <f>SUMIF(48:48,YEAR(G7)&amp;"-"&amp;MONTH(G7),49:49)</f>
        <v>0</v>
      </c>
      <c r="I7" s="523"/>
      <c r="J7" s="520">
        <f>SUMIF(48:48,YEAR(I7)&amp;"-"&amp;MONTH(I7),49:49)</f>
        <v>0</v>
      </c>
      <c r="K7" s="524"/>
      <c r="L7" s="2136"/>
      <c r="M7" s="2137"/>
      <c r="N7" s="2137"/>
      <c r="O7" s="2137"/>
      <c r="P7" s="3424" t="s">
        <v>530</v>
      </c>
      <c r="Q7" s="3426"/>
      <c r="R7" s="1568" t="s">
        <v>8</v>
      </c>
      <c r="S7" s="1569">
        <f t="shared" ref="S7:S14" si="0">F7</f>
        <v>0</v>
      </c>
      <c r="T7" s="1568" t="s">
        <v>8</v>
      </c>
      <c r="U7" s="1569">
        <f t="shared" ref="U7:U14" si="1">H7</f>
        <v>0</v>
      </c>
      <c r="V7" s="1568" t="s">
        <v>8</v>
      </c>
      <c r="W7" s="1569">
        <f t="shared" ref="W7:W14" si="2">J7</f>
        <v>0</v>
      </c>
      <c r="X7" s="1570"/>
      <c r="Y7" s="3424" t="s">
        <v>530</v>
      </c>
      <c r="Z7" s="3425"/>
      <c r="AA7" s="1571" t="e">
        <f>D7/F7</f>
        <v>#DIV/0!</v>
      </c>
      <c r="AB7" s="1571" t="e">
        <f>D7/H7</f>
        <v>#DIV/0!</v>
      </c>
      <c r="AC7" s="1571" t="e">
        <f>D7/J7</f>
        <v>#DIV/0!</v>
      </c>
    </row>
    <row r="8" spans="1:29" s="1220" customFormat="1" ht="15.75" thickBot="1">
      <c r="A8" s="2914"/>
      <c r="B8" s="2921"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424" t="s">
        <v>533</v>
      </c>
      <c r="Q8" s="3425"/>
      <c r="R8" s="1568" t="s">
        <v>8</v>
      </c>
      <c r="S8" s="1569">
        <f t="shared" si="0"/>
        <v>0</v>
      </c>
      <c r="T8" s="1568" t="s">
        <v>8</v>
      </c>
      <c r="U8" s="1569">
        <f t="shared" si="1"/>
        <v>0</v>
      </c>
      <c r="V8" s="1568" t="s">
        <v>8</v>
      </c>
      <c r="W8" s="1569">
        <f t="shared" si="2"/>
        <v>0</v>
      </c>
      <c r="X8" s="1570"/>
      <c r="Y8" s="3424" t="s">
        <v>533</v>
      </c>
      <c r="Z8" s="3425"/>
      <c r="AA8" s="1571" t="e">
        <f t="shared" ref="AA8:AA36" si="3">D8/F8</f>
        <v>#DIV/0!</v>
      </c>
      <c r="AB8" s="1571" t="e">
        <f t="shared" ref="AB8:AB36" si="4">D8/H8</f>
        <v>#DIV/0!</v>
      </c>
      <c r="AC8" s="1571" t="e">
        <f t="shared" ref="AC8:AC36" si="5">D8/J8</f>
        <v>#DIV/0!</v>
      </c>
    </row>
    <row r="9" spans="1:29" s="1220" customFormat="1" ht="15">
      <c r="A9" s="2915"/>
      <c r="B9" s="2922" t="s">
        <v>2755</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94" t="s">
        <v>535</v>
      </c>
      <c r="Q9" s="1151" t="str">
        <f t="shared" ref="Q9:Q14" si="6">B9</f>
        <v>用途</v>
      </c>
      <c r="R9" s="1568" t="s">
        <v>8</v>
      </c>
      <c r="S9" s="1569">
        <f t="shared" si="0"/>
        <v>100</v>
      </c>
      <c r="T9" s="1568" t="s">
        <v>8</v>
      </c>
      <c r="U9" s="1569">
        <f t="shared" si="1"/>
        <v>100</v>
      </c>
      <c r="V9" s="1568" t="s">
        <v>8</v>
      </c>
      <c r="W9" s="1569">
        <f t="shared" si="2"/>
        <v>100</v>
      </c>
      <c r="X9" s="1570"/>
      <c r="Y9" s="3322" t="s">
        <v>536</v>
      </c>
      <c r="Z9" s="1150" t="str">
        <f t="shared" ref="Z9:Z14" si="7">Q9</f>
        <v>用途</v>
      </c>
      <c r="AA9" s="1571">
        <f t="shared" si="3"/>
        <v>1</v>
      </c>
      <c r="AB9" s="1571">
        <f t="shared" si="4"/>
        <v>1</v>
      </c>
      <c r="AC9" s="1571">
        <f t="shared" si="5"/>
        <v>1</v>
      </c>
    </row>
    <row r="10" spans="1:29" s="1338" customFormat="1" ht="27">
      <c r="A10" s="2916"/>
      <c r="B10" s="2921" t="s">
        <v>2756</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94"/>
      <c r="Q10" s="1151" t="str">
        <f t="shared" si="6"/>
        <v>土地使用年限（年）</v>
      </c>
      <c r="R10" s="1568" t="s">
        <v>8</v>
      </c>
      <c r="S10" s="1569">
        <f t="shared" si="0"/>
        <v>100</v>
      </c>
      <c r="T10" s="1568" t="s">
        <v>8</v>
      </c>
      <c r="U10" s="1569">
        <f t="shared" si="1"/>
        <v>100</v>
      </c>
      <c r="V10" s="1568" t="s">
        <v>8</v>
      </c>
      <c r="W10" s="1569">
        <f t="shared" si="2"/>
        <v>100</v>
      </c>
      <c r="X10" s="1570"/>
      <c r="Y10" s="3322"/>
      <c r="Z10" s="1150" t="str">
        <f t="shared" si="7"/>
        <v>土地使用年限（年）</v>
      </c>
      <c r="AA10" s="1571">
        <f t="shared" si="3"/>
        <v>1</v>
      </c>
      <c r="AB10" s="1571">
        <f t="shared" si="4"/>
        <v>1</v>
      </c>
      <c r="AC10" s="1571">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94"/>
      <c r="Q11" s="1151">
        <f t="shared" si="6"/>
        <v>111</v>
      </c>
      <c r="R11" s="1568" t="s">
        <v>8</v>
      </c>
      <c r="S11" s="1569">
        <f t="shared" si="0"/>
        <v>100</v>
      </c>
      <c r="T11" s="1568" t="s">
        <v>8</v>
      </c>
      <c r="U11" s="1569">
        <f t="shared" si="1"/>
        <v>100</v>
      </c>
      <c r="V11" s="1568" t="s">
        <v>8</v>
      </c>
      <c r="W11" s="1569">
        <f t="shared" si="2"/>
        <v>100</v>
      </c>
      <c r="X11" s="1570"/>
      <c r="Y11" s="3322"/>
      <c r="Z11" s="1150">
        <f t="shared" si="7"/>
        <v>111</v>
      </c>
      <c r="AA11" s="1571">
        <f t="shared" si="3"/>
        <v>1</v>
      </c>
      <c r="AB11" s="1571">
        <f t="shared" si="4"/>
        <v>1</v>
      </c>
      <c r="AC11" s="1571">
        <f t="shared" si="5"/>
        <v>1</v>
      </c>
    </row>
    <row r="12" spans="1:29" s="1220"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94"/>
      <c r="Q12" s="1151">
        <f t="shared" si="6"/>
        <v>111</v>
      </c>
      <c r="R12" s="1568" t="s">
        <v>8</v>
      </c>
      <c r="S12" s="1569">
        <f t="shared" si="0"/>
        <v>100</v>
      </c>
      <c r="T12" s="1568" t="s">
        <v>8</v>
      </c>
      <c r="U12" s="1569">
        <f t="shared" si="1"/>
        <v>100</v>
      </c>
      <c r="V12" s="1568" t="s">
        <v>8</v>
      </c>
      <c r="W12" s="1569">
        <f t="shared" si="2"/>
        <v>100</v>
      </c>
      <c r="X12" s="1570"/>
      <c r="Y12" s="3322"/>
      <c r="Z12" s="1150">
        <f t="shared" si="7"/>
        <v>111</v>
      </c>
      <c r="AA12" s="1571">
        <f>D12/F12</f>
        <v>1</v>
      </c>
      <c r="AB12" s="1571">
        <f>D12/H12</f>
        <v>1</v>
      </c>
      <c r="AC12" s="1571">
        <f>D12/J12</f>
        <v>1</v>
      </c>
    </row>
    <row r="13" spans="1:29" ht="15.75"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94"/>
      <c r="Q13" s="1151">
        <f t="shared" si="6"/>
        <v>111</v>
      </c>
      <c r="R13" s="1568" t="s">
        <v>8</v>
      </c>
      <c r="S13" s="1569">
        <f t="shared" si="0"/>
        <v>100</v>
      </c>
      <c r="T13" s="1568" t="s">
        <v>8</v>
      </c>
      <c r="U13" s="1569">
        <f t="shared" si="1"/>
        <v>100</v>
      </c>
      <c r="V13" s="1568" t="s">
        <v>8</v>
      </c>
      <c r="W13" s="1569">
        <f t="shared" si="2"/>
        <v>100</v>
      </c>
      <c r="X13" s="1570"/>
      <c r="Y13" s="3322"/>
      <c r="Z13" s="1150">
        <f t="shared" si="7"/>
        <v>111</v>
      </c>
      <c r="AA13" s="1571">
        <f t="shared" si="3"/>
        <v>1</v>
      </c>
      <c r="AB13" s="1571">
        <f t="shared" si="4"/>
        <v>1</v>
      </c>
      <c r="AC13" s="1571">
        <f t="shared" si="5"/>
        <v>1</v>
      </c>
    </row>
    <row r="14" spans="1:29" ht="15">
      <c r="A14" s="2911" t="s">
        <v>2753</v>
      </c>
      <c r="B14" s="547" t="s">
        <v>543</v>
      </c>
      <c r="C14" s="921" t="str">
        <f>IF(B1="工业",估价对象房地状况!G4,估价对象房地状况!C6)</f>
        <v>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27" t="s">
        <v>540</v>
      </c>
      <c r="Q14" s="1572" t="str">
        <f t="shared" si="6"/>
        <v>交通便捷度</v>
      </c>
      <c r="R14" s="1573" t="s">
        <v>8</v>
      </c>
      <c r="S14" s="1574">
        <f t="shared" si="0"/>
        <v>100</v>
      </c>
      <c r="T14" s="1573" t="s">
        <v>8</v>
      </c>
      <c r="U14" s="1574">
        <f t="shared" si="1"/>
        <v>100</v>
      </c>
      <c r="V14" s="1573" t="s">
        <v>8</v>
      </c>
      <c r="W14" s="1574">
        <f t="shared" si="2"/>
        <v>100</v>
      </c>
      <c r="X14" s="1567"/>
      <c r="Y14" s="3427" t="s">
        <v>540</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428"/>
      <c r="Q15" s="1572"/>
      <c r="R15" s="1573"/>
      <c r="S15" s="1574"/>
      <c r="T15" s="1573"/>
      <c r="U15" s="1574"/>
      <c r="V15" s="1573"/>
      <c r="W15" s="1574"/>
      <c r="X15" s="1567"/>
      <c r="Y15" s="3428"/>
      <c r="Z15" s="1575"/>
      <c r="AA15" s="1576">
        <v>1</v>
      </c>
      <c r="AB15" s="1576">
        <v>1</v>
      </c>
      <c r="AC15" s="1576">
        <v>1</v>
      </c>
    </row>
    <row r="16" spans="1:29" ht="15">
      <c r="A16" s="515"/>
      <c r="B16" s="2604" t="s">
        <v>2546</v>
      </c>
      <c r="C16" s="872" t="str">
        <f>IF(B1="工业",估价对象房地状况!G5,估价对象房地状况!C7)</f>
        <v>较好</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28"/>
      <c r="Q16" s="1572" t="str">
        <f>B16</f>
        <v>公共配套设施</v>
      </c>
      <c r="R16" s="1573" t="s">
        <v>8</v>
      </c>
      <c r="S16" s="1574">
        <f>F16</f>
        <v>100</v>
      </c>
      <c r="T16" s="1573" t="s">
        <v>8</v>
      </c>
      <c r="U16" s="1574">
        <f>H16</f>
        <v>100</v>
      </c>
      <c r="V16" s="1573" t="s">
        <v>8</v>
      </c>
      <c r="W16" s="1574">
        <f>J16</f>
        <v>100</v>
      </c>
      <c r="X16" s="1567"/>
      <c r="Y16" s="3428"/>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428"/>
      <c r="Q17" s="1572"/>
      <c r="R17" s="1573"/>
      <c r="S17" s="1574"/>
      <c r="T17" s="1573"/>
      <c r="U17" s="1574"/>
      <c r="V17" s="1573"/>
      <c r="W17" s="1574"/>
      <c r="X17" s="1567"/>
      <c r="Y17" s="3428"/>
      <c r="Z17" s="1575"/>
      <c r="AA17" s="1576">
        <v>1</v>
      </c>
      <c r="AB17" s="1576">
        <v>1</v>
      </c>
      <c r="AC17" s="1576">
        <v>1</v>
      </c>
    </row>
    <row r="18" spans="1:29" ht="15">
      <c r="A18" s="515"/>
      <c r="B18" s="2592" t="s">
        <v>2558</v>
      </c>
      <c r="C18" s="872" t="str">
        <f>IF(B1="工业",估价对象房地状况!G6,估价对象房地状况!C8)</f>
        <v>七通</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28"/>
      <c r="Q18" s="2580" t="str">
        <f>B18</f>
        <v>基础设施水平</v>
      </c>
      <c r="R18" s="1573" t="s">
        <v>8</v>
      </c>
      <c r="S18" s="1574">
        <f>F18</f>
        <v>100</v>
      </c>
      <c r="T18" s="1573" t="s">
        <v>8</v>
      </c>
      <c r="U18" s="1574">
        <f>H18</f>
        <v>100</v>
      </c>
      <c r="V18" s="1573" t="s">
        <v>8</v>
      </c>
      <c r="W18" s="1574">
        <f>J18</f>
        <v>100</v>
      </c>
      <c r="X18" s="2582"/>
      <c r="Y18" s="3428"/>
      <c r="Z18" s="2581"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03"/>
      <c r="L19" s="2143"/>
      <c r="M19" s="2135"/>
      <c r="N19" s="2135"/>
      <c r="O19" s="2142"/>
      <c r="P19" s="3428"/>
      <c r="Q19" s="2580"/>
      <c r="R19" s="1573"/>
      <c r="S19" s="1574"/>
      <c r="T19" s="1573"/>
      <c r="U19" s="1574"/>
      <c r="V19" s="1573"/>
      <c r="W19" s="1574"/>
      <c r="X19" s="2582"/>
      <c r="Y19" s="3428"/>
      <c r="Z19" s="2581"/>
      <c r="AA19" s="1576">
        <v>1</v>
      </c>
      <c r="AB19" s="1576">
        <v>1</v>
      </c>
      <c r="AC19" s="1576">
        <v>1</v>
      </c>
    </row>
    <row r="20" spans="1:29" ht="15">
      <c r="A20" s="515"/>
      <c r="B20" s="560" t="s">
        <v>804</v>
      </c>
      <c r="C20" s="872" t="str">
        <f>IF(B1="工业",估价对象房地状况!G7,估价对象房地状况!C9)</f>
        <v>较好</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28"/>
      <c r="Q20" s="1572" t="str">
        <f>B20</f>
        <v>自然及人文环境</v>
      </c>
      <c r="R20" s="1573" t="s">
        <v>8</v>
      </c>
      <c r="S20" s="1574">
        <f>F20</f>
        <v>100</v>
      </c>
      <c r="T20" s="1573" t="s">
        <v>8</v>
      </c>
      <c r="U20" s="1574">
        <f>H20</f>
        <v>100</v>
      </c>
      <c r="V20" s="1573" t="s">
        <v>8</v>
      </c>
      <c r="W20" s="1574">
        <f>J20</f>
        <v>100</v>
      </c>
      <c r="X20" s="1567"/>
      <c r="Y20" s="3428"/>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428"/>
      <c r="Q21" s="1572"/>
      <c r="R21" s="1573"/>
      <c r="S21" s="1574"/>
      <c r="T21" s="1573"/>
      <c r="U21" s="1574"/>
      <c r="V21" s="1573"/>
      <c r="W21" s="1574"/>
      <c r="X21" s="1567"/>
      <c r="Y21" s="3428"/>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28"/>
      <c r="Q22" s="1572" t="str">
        <f>B22</f>
        <v>楼层</v>
      </c>
      <c r="R22" s="1573" t="s">
        <v>8</v>
      </c>
      <c r="S22" s="1574">
        <f>F22</f>
        <v>100</v>
      </c>
      <c r="T22" s="1573" t="s">
        <v>8</v>
      </c>
      <c r="U22" s="1574">
        <f>H22</f>
        <v>100</v>
      </c>
      <c r="V22" s="1573" t="s">
        <v>8</v>
      </c>
      <c r="W22" s="1574">
        <f>J22</f>
        <v>100</v>
      </c>
      <c r="X22" s="1567"/>
      <c r="Y22" s="3428"/>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28"/>
      <c r="Q23" s="1572">
        <f>B23</f>
        <v>111</v>
      </c>
      <c r="R23" s="1573" t="s">
        <v>8</v>
      </c>
      <c r="S23" s="1574">
        <f>F23</f>
        <v>100</v>
      </c>
      <c r="T23" s="1573" t="s">
        <v>8</v>
      </c>
      <c r="U23" s="1574">
        <f>H23</f>
        <v>100</v>
      </c>
      <c r="V23" s="1573" t="s">
        <v>8</v>
      </c>
      <c r="W23" s="1574">
        <f>J23</f>
        <v>100</v>
      </c>
      <c r="X23" s="1567"/>
      <c r="Y23" s="3428"/>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28"/>
      <c r="Q24" s="1572">
        <f t="shared" ref="Q24:Q36" si="11">B24</f>
        <v>111</v>
      </c>
      <c r="R24" s="1573" t="s">
        <v>8</v>
      </c>
      <c r="S24" s="1574">
        <f>F24</f>
        <v>100</v>
      </c>
      <c r="T24" s="1573" t="s">
        <v>8</v>
      </c>
      <c r="U24" s="1574">
        <f>H24</f>
        <v>100</v>
      </c>
      <c r="V24" s="1573" t="s">
        <v>8</v>
      </c>
      <c r="W24" s="1574">
        <f>J24</f>
        <v>100</v>
      </c>
      <c r="X24" s="1567"/>
      <c r="Y24" s="3428"/>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28"/>
      <c r="Q25" s="1151">
        <f t="shared" si="11"/>
        <v>111</v>
      </c>
      <c r="R25" s="1568" t="s">
        <v>8</v>
      </c>
      <c r="S25" s="1569">
        <f>F25</f>
        <v>100</v>
      </c>
      <c r="T25" s="1568" t="s">
        <v>8</v>
      </c>
      <c r="U25" s="1569">
        <f>H25</f>
        <v>100</v>
      </c>
      <c r="V25" s="1568" t="s">
        <v>8</v>
      </c>
      <c r="W25" s="1569">
        <f>J25</f>
        <v>100</v>
      </c>
      <c r="X25" s="1570"/>
      <c r="Y25" s="3428"/>
      <c r="Z25" s="1150">
        <f>Q25</f>
        <v>111</v>
      </c>
      <c r="AA25" s="1576">
        <f>D25/F25</f>
        <v>1</v>
      </c>
      <c r="AB25" s="1576">
        <f>D25/H25</f>
        <v>1</v>
      </c>
      <c r="AC25" s="1576">
        <f>D25/J25</f>
        <v>1</v>
      </c>
    </row>
    <row r="26" spans="1:29" ht="15">
      <c r="A26" s="2908"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29"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30"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30"/>
      <c r="Q27" s="1605" t="str">
        <f t="shared" si="11"/>
        <v>项目停车位配比</v>
      </c>
      <c r="R27" s="1577" t="s">
        <v>8</v>
      </c>
      <c r="S27" s="1578">
        <f t="shared" si="12"/>
        <v>100</v>
      </c>
      <c r="T27" s="1577" t="s">
        <v>8</v>
      </c>
      <c r="U27" s="1578">
        <f t="shared" si="13"/>
        <v>100</v>
      </c>
      <c r="V27" s="1577" t="s">
        <v>8</v>
      </c>
      <c r="W27" s="1578">
        <f t="shared" si="14"/>
        <v>100</v>
      </c>
      <c r="X27" s="1579"/>
      <c r="Y27" s="3430"/>
      <c r="Z27" s="1580" t="str">
        <f t="shared" si="15"/>
        <v>项目停车位配比</v>
      </c>
      <c r="AA27" s="1576">
        <f t="shared" si="3"/>
        <v>1</v>
      </c>
      <c r="AB27" s="1576">
        <f t="shared" si="4"/>
        <v>1</v>
      </c>
      <c r="AC27" s="1576">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30"/>
      <c r="Q28" s="1572" t="str">
        <f t="shared" si="11"/>
        <v>公共部分装修</v>
      </c>
      <c r="R28" s="1573" t="s">
        <v>8</v>
      </c>
      <c r="S28" s="1574">
        <f t="shared" si="12"/>
        <v>100</v>
      </c>
      <c r="T28" s="1573" t="s">
        <v>8</v>
      </c>
      <c r="U28" s="1574">
        <f t="shared" si="13"/>
        <v>100</v>
      </c>
      <c r="V28" s="1573" t="s">
        <v>8</v>
      </c>
      <c r="W28" s="1574">
        <f t="shared" si="14"/>
        <v>100</v>
      </c>
      <c r="X28" s="1567"/>
      <c r="Y28" s="3430"/>
      <c r="Z28" s="1575" t="str">
        <f t="shared" si="15"/>
        <v>公共部分装修</v>
      </c>
      <c r="AA28" s="1576">
        <f t="shared" si="3"/>
        <v>1</v>
      </c>
      <c r="AB28" s="1576">
        <f t="shared" si="4"/>
        <v>1</v>
      </c>
      <c r="AC28" s="1576">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30"/>
      <c r="Q29" s="1572" t="str">
        <f t="shared" si="11"/>
        <v>成新率</v>
      </c>
      <c r="R29" s="1573" t="s">
        <v>8</v>
      </c>
      <c r="S29" s="1574" t="e">
        <f t="shared" si="12"/>
        <v>#N/A</v>
      </c>
      <c r="T29" s="1573" t="s">
        <v>8</v>
      </c>
      <c r="U29" s="1574" t="e">
        <f t="shared" si="13"/>
        <v>#N/A</v>
      </c>
      <c r="V29" s="1573" t="s">
        <v>8</v>
      </c>
      <c r="W29" s="1574" t="e">
        <f t="shared" si="14"/>
        <v>#N/A</v>
      </c>
      <c r="X29" s="1567"/>
      <c r="Y29" s="3430"/>
      <c r="Z29" s="1575" t="str">
        <f t="shared" si="15"/>
        <v>成新率</v>
      </c>
      <c r="AA29" s="1576" t="e">
        <f t="shared" si="3"/>
        <v>#N/A</v>
      </c>
      <c r="AB29" s="1576" t="e">
        <f t="shared" si="4"/>
        <v>#N/A</v>
      </c>
      <c r="AC29" s="1576"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30"/>
      <c r="Q30" s="1572" t="str">
        <f t="shared" si="11"/>
        <v>物业等级</v>
      </c>
      <c r="R30" s="1573" t="s">
        <v>8</v>
      </c>
      <c r="S30" s="1574">
        <f t="shared" si="12"/>
        <v>100</v>
      </c>
      <c r="T30" s="1573" t="s">
        <v>8</v>
      </c>
      <c r="U30" s="1574">
        <f t="shared" si="13"/>
        <v>100</v>
      </c>
      <c r="V30" s="1573" t="s">
        <v>8</v>
      </c>
      <c r="W30" s="1574">
        <f t="shared" si="14"/>
        <v>100</v>
      </c>
      <c r="X30" s="1567"/>
      <c r="Y30" s="3430"/>
      <c r="Z30" s="1575" t="str">
        <f t="shared" si="15"/>
        <v>物业等级</v>
      </c>
      <c r="AA30" s="1576">
        <f t="shared" si="3"/>
        <v>1</v>
      </c>
      <c r="AB30" s="1576">
        <f t="shared" si="4"/>
        <v>1</v>
      </c>
      <c r="AC30" s="1576">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30"/>
      <c r="Q31" s="1151" t="str">
        <f t="shared" si="11"/>
        <v>停车位面积</v>
      </c>
      <c r="R31" s="1568" t="s">
        <v>8</v>
      </c>
      <c r="S31" s="1569" t="e">
        <f t="shared" si="12"/>
        <v>#N/A</v>
      </c>
      <c r="T31" s="1568" t="s">
        <v>8</v>
      </c>
      <c r="U31" s="1569" t="e">
        <f t="shared" si="13"/>
        <v>#N/A</v>
      </c>
      <c r="V31" s="1568" t="s">
        <v>8</v>
      </c>
      <c r="W31" s="1569" t="e">
        <f t="shared" si="14"/>
        <v>#N/A</v>
      </c>
      <c r="X31" s="1570"/>
      <c r="Y31" s="3430"/>
      <c r="Z31" s="1150" t="str">
        <f t="shared" si="15"/>
        <v>停车位面积</v>
      </c>
      <c r="AA31" s="1571" t="e">
        <f t="shared" si="3"/>
        <v>#N/A</v>
      </c>
      <c r="AB31" s="1571" t="e">
        <f t="shared" si="4"/>
        <v>#N/A</v>
      </c>
      <c r="AC31" s="1571"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30" t="s">
        <v>550</v>
      </c>
      <c r="Q32" s="1572" t="str">
        <f t="shared" si="11"/>
        <v>车位类型</v>
      </c>
      <c r="R32" s="1573" t="s">
        <v>8</v>
      </c>
      <c r="S32" s="1574">
        <f t="shared" si="12"/>
        <v>100</v>
      </c>
      <c r="T32" s="1573" t="s">
        <v>8</v>
      </c>
      <c r="U32" s="1574">
        <f t="shared" si="13"/>
        <v>100</v>
      </c>
      <c r="V32" s="1573" t="s">
        <v>8</v>
      </c>
      <c r="W32" s="1574">
        <f t="shared" si="14"/>
        <v>100</v>
      </c>
      <c r="X32" s="1567"/>
      <c r="Y32" s="3430" t="s">
        <v>550</v>
      </c>
      <c r="Z32" s="1575" t="str">
        <f t="shared" si="15"/>
        <v>车位类型</v>
      </c>
      <c r="AA32" s="1576">
        <f t="shared" si="3"/>
        <v>1</v>
      </c>
      <c r="AB32" s="1576">
        <f t="shared" si="4"/>
        <v>1</v>
      </c>
      <c r="AC32" s="1576">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30"/>
      <c r="Q33" s="1572" t="str">
        <f t="shared" si="11"/>
        <v>是否直接入户</v>
      </c>
      <c r="R33" s="1573" t="s">
        <v>8</v>
      </c>
      <c r="S33" s="1574">
        <f t="shared" si="12"/>
        <v>100</v>
      </c>
      <c r="T33" s="1573" t="s">
        <v>8</v>
      </c>
      <c r="U33" s="1574">
        <f t="shared" si="13"/>
        <v>100</v>
      </c>
      <c r="V33" s="1573" t="s">
        <v>8</v>
      </c>
      <c r="W33" s="1574">
        <f t="shared" si="14"/>
        <v>100</v>
      </c>
      <c r="X33" s="1567"/>
      <c r="Y33" s="3430"/>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30"/>
      <c r="Q34" s="1572">
        <f t="shared" si="11"/>
        <v>111</v>
      </c>
      <c r="R34" s="1573" t="s">
        <v>8</v>
      </c>
      <c r="S34" s="1574">
        <f t="shared" si="12"/>
        <v>100</v>
      </c>
      <c r="T34" s="1573" t="s">
        <v>8</v>
      </c>
      <c r="U34" s="1574">
        <f t="shared" si="13"/>
        <v>100</v>
      </c>
      <c r="V34" s="1573" t="s">
        <v>8</v>
      </c>
      <c r="W34" s="1574">
        <f t="shared" si="14"/>
        <v>100</v>
      </c>
      <c r="X34" s="1567"/>
      <c r="Y34" s="3430"/>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30"/>
      <c r="Q35" s="1605">
        <f t="shared" si="11"/>
        <v>111</v>
      </c>
      <c r="R35" s="1577" t="s">
        <v>8</v>
      </c>
      <c r="S35" s="1578">
        <f t="shared" si="12"/>
        <v>100</v>
      </c>
      <c r="T35" s="1577" t="s">
        <v>8</v>
      </c>
      <c r="U35" s="1578">
        <f t="shared" si="13"/>
        <v>100</v>
      </c>
      <c r="V35" s="1577" t="s">
        <v>8</v>
      </c>
      <c r="W35" s="1578">
        <f t="shared" si="14"/>
        <v>100</v>
      </c>
      <c r="X35" s="1579"/>
      <c r="Y35" s="3430"/>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30"/>
      <c r="Q36" s="1572">
        <f t="shared" si="11"/>
        <v>111</v>
      </c>
      <c r="R36" s="1573" t="s">
        <v>8</v>
      </c>
      <c r="S36" s="1574">
        <f t="shared" si="12"/>
        <v>100</v>
      </c>
      <c r="T36" s="1573" t="s">
        <v>8</v>
      </c>
      <c r="U36" s="1574">
        <f t="shared" si="13"/>
        <v>100</v>
      </c>
      <c r="V36" s="1573" t="s">
        <v>8</v>
      </c>
      <c r="W36" s="1574">
        <f t="shared" si="14"/>
        <v>100</v>
      </c>
      <c r="X36" s="1567"/>
      <c r="Y36" s="3430"/>
      <c r="Z36" s="1575">
        <f t="shared" si="15"/>
        <v>111</v>
      </c>
      <c r="AA36" s="1576">
        <f t="shared" si="3"/>
        <v>1</v>
      </c>
      <c r="AB36" s="1576">
        <f t="shared" si="4"/>
        <v>1</v>
      </c>
      <c r="AC36" s="1576">
        <f t="shared" si="5"/>
        <v>1</v>
      </c>
    </row>
    <row r="37" spans="1:29" ht="15">
      <c r="A37" s="1847" t="s">
        <v>2078</v>
      </c>
      <c r="B37" s="1848" t="s">
        <v>2079</v>
      </c>
      <c r="C37" s="2628" t="s">
        <v>1</v>
      </c>
      <c r="D37" s="2629"/>
      <c r="E37" s="2630"/>
      <c r="F37" s="2631"/>
      <c r="G37" s="2632"/>
      <c r="H37" s="2633"/>
      <c r="I37" s="2630"/>
      <c r="J37" s="2633"/>
      <c r="K37" s="1611"/>
      <c r="L37" s="2145"/>
      <c r="M37" s="2146"/>
      <c r="N37" s="2135"/>
      <c r="O37" s="2146"/>
      <c r="P37" s="3394" t="str">
        <f>A37</f>
        <v>成交单价</v>
      </c>
      <c r="Q37" s="3394"/>
      <c r="R37" s="3490">
        <f>E37</f>
        <v>0</v>
      </c>
      <c r="S37" s="3490"/>
      <c r="T37" s="3490">
        <f>G37</f>
        <v>0</v>
      </c>
      <c r="U37" s="3490"/>
      <c r="V37" s="3490">
        <f>I37</f>
        <v>0</v>
      </c>
      <c r="W37" s="3490"/>
      <c r="X37" s="1559"/>
      <c r="Y37" s="1581"/>
      <c r="Z37" s="1559"/>
      <c r="AA37" s="1559"/>
      <c r="AB37" s="1559"/>
      <c r="AC37" s="1559"/>
    </row>
    <row r="38" spans="1:29" ht="15.75" thickBot="1">
      <c r="A38" s="615" t="s">
        <v>2759</v>
      </c>
      <c r="B38" s="888"/>
      <c r="C38" s="2634" t="e">
        <f>R39</f>
        <v>#DIV/0!</v>
      </c>
      <c r="D38" s="2635"/>
      <c r="E38" s="2636" t="e">
        <f>R38</f>
        <v>#DIV/0!</v>
      </c>
      <c r="F38" s="2636"/>
      <c r="G38" s="2634" t="e">
        <f>T38</f>
        <v>#DIV/0!</v>
      </c>
      <c r="H38" s="2635"/>
      <c r="I38" s="2636" t="e">
        <f>V38</f>
        <v>#DIV/0!</v>
      </c>
      <c r="J38" s="2635"/>
      <c r="K38" s="1612"/>
      <c r="L38" s="2145"/>
      <c r="M38" s="2146"/>
      <c r="N38" s="2146"/>
      <c r="O38" s="2146"/>
      <c r="P38" s="3394" t="str">
        <f>A38</f>
        <v>比较价格（元/平方米）</v>
      </c>
      <c r="Q38" s="3394"/>
      <c r="R38" s="3490" t="e">
        <f>IF(F1="售价",ROUND(PRODUCT(R37,AA7:AA36),0),ROUND(PRODUCT(R37,AA7:AA36),1))</f>
        <v>#DIV/0!</v>
      </c>
      <c r="S38" s="3490"/>
      <c r="T38" s="3490" t="e">
        <f>IF(F1="售价",ROUND(PRODUCT(T37,AB7:AB36),0),ROUND(PRODUCT(T37,AB7:AB36),1))</f>
        <v>#DIV/0!</v>
      </c>
      <c r="U38" s="3490"/>
      <c r="V38" s="3490" t="e">
        <f>IF(F1="售价",ROUND(PRODUCT(V37,AC7:AC36),0),ROUND(PRODUCT(V37,AC7:AC36),1))</f>
        <v>#DIV/0!</v>
      </c>
      <c r="W38" s="3490"/>
      <c r="X38" s="1559"/>
      <c r="Y38" s="1559"/>
      <c r="Z38" s="1559"/>
      <c r="AA38" s="1559"/>
      <c r="AB38" s="1559"/>
      <c r="AC38" s="1559"/>
    </row>
    <row r="39" spans="1:29" ht="15.75" thickBot="1">
      <c r="A39" s="621" t="s">
        <v>2928</v>
      </c>
      <c r="B39" s="622"/>
      <c r="C39" s="2637" t="e">
        <f>R39</f>
        <v>#DIV/0!</v>
      </c>
      <c r="D39" s="2637"/>
      <c r="E39" s="2637"/>
      <c r="F39" s="2637"/>
      <c r="G39" s="2637"/>
      <c r="H39" s="2637"/>
      <c r="I39" s="2637"/>
      <c r="J39" s="2637"/>
      <c r="K39" s="1613"/>
      <c r="L39" s="2145"/>
      <c r="M39" s="2146"/>
      <c r="N39" s="2146"/>
      <c r="O39" s="2146"/>
      <c r="P39" s="3391" t="str">
        <f>A39</f>
        <v>估价对象XX用房的比较价格（楼面单价，元/平方米）</v>
      </c>
      <c r="Q39" s="3392"/>
      <c r="R39" s="3489" t="e">
        <f>IF(F1="售价",ROUND(AVERAGE(R38:V38),0),ROUND(AVERAGE(R38:V38),1))</f>
        <v>#DIV/0!</v>
      </c>
      <c r="S39" s="3489"/>
      <c r="T39" s="3489"/>
      <c r="U39" s="3489"/>
      <c r="V39" s="3489"/>
      <c r="W39" s="3489"/>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803" t="str">
        <f>YEAR(C7)&amp;"-"&amp;MONTH(C7)</f>
        <v>2018-10</v>
      </c>
      <c r="D48" s="2805">
        <f>EDATE(C48,-1)</f>
        <v>43344</v>
      </c>
      <c r="E48" s="2805">
        <f t="shared" ref="E48:O48" si="16">EDATE(D48,-1)</f>
        <v>43313</v>
      </c>
      <c r="F48" s="2805">
        <f t="shared" si="16"/>
        <v>43282</v>
      </c>
      <c r="G48" s="2805">
        <f t="shared" si="16"/>
        <v>43252</v>
      </c>
      <c r="H48" s="2805">
        <f t="shared" si="16"/>
        <v>43221</v>
      </c>
      <c r="I48" s="2805">
        <f t="shared" si="16"/>
        <v>43191</v>
      </c>
      <c r="J48" s="2805">
        <f t="shared" si="16"/>
        <v>43160</v>
      </c>
      <c r="K48" s="2805">
        <f t="shared" si="16"/>
        <v>43132</v>
      </c>
      <c r="L48" s="2805">
        <f t="shared" si="16"/>
        <v>43101</v>
      </c>
      <c r="M48" s="2805">
        <f t="shared" si="16"/>
        <v>43070</v>
      </c>
      <c r="N48" s="2805">
        <f t="shared" si="16"/>
        <v>43040</v>
      </c>
      <c r="O48" s="2805">
        <f t="shared" si="16"/>
        <v>43009</v>
      </c>
      <c r="P48" s="2161"/>
      <c r="Q48" s="2162"/>
      <c r="R48" s="2162"/>
      <c r="S48" s="2162"/>
      <c r="T48" s="2162"/>
      <c r="U48" s="2162"/>
      <c r="V48" s="2162"/>
      <c r="W48" s="2162"/>
      <c r="X48" s="2162"/>
      <c r="Y48" s="2162"/>
      <c r="Z48" s="2162"/>
      <c r="AA48" s="2162"/>
      <c r="AB48" s="2162"/>
      <c r="AC48" s="2162"/>
    </row>
    <row r="49" spans="1:29" s="1220" customFormat="1" ht="15">
      <c r="A49" s="647"/>
      <c r="B49" s="648"/>
      <c r="C49" s="2804">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2557</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8" t="s">
        <v>2558</v>
      </c>
      <c r="C67" s="2599" t="s">
        <v>2559</v>
      </c>
      <c r="D67" s="2599" t="s">
        <v>2560</v>
      </c>
      <c r="E67" s="2599" t="s">
        <v>2561</v>
      </c>
      <c r="F67" s="2599" t="s">
        <v>2562</v>
      </c>
      <c r="G67" s="2599" t="s">
        <v>2563</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400" t="s">
        <v>798</v>
      </c>
      <c r="D4" s="3401"/>
      <c r="E4" s="3435" t="s">
        <v>799</v>
      </c>
      <c r="F4" s="3436"/>
      <c r="G4" s="3400" t="s">
        <v>800</v>
      </c>
      <c r="H4" s="3401"/>
      <c r="I4" s="3400" t="s">
        <v>801</v>
      </c>
      <c r="J4" s="3401"/>
      <c r="K4" s="514" t="s">
        <v>802</v>
      </c>
      <c r="L4" s="2134"/>
      <c r="M4" s="2135"/>
      <c r="N4" s="2135"/>
      <c r="O4" s="2135"/>
      <c r="P4" s="3402" t="s">
        <v>803</v>
      </c>
      <c r="Q4" s="3403"/>
      <c r="R4" s="3408" t="s">
        <v>799</v>
      </c>
      <c r="S4" s="3409"/>
      <c r="T4" s="3408" t="s">
        <v>800</v>
      </c>
      <c r="U4" s="3409"/>
      <c r="V4" s="3395" t="s">
        <v>801</v>
      </c>
      <c r="W4" s="3395"/>
      <c r="X4" s="1567"/>
      <c r="Y4" s="3408" t="s">
        <v>803</v>
      </c>
      <c r="Z4" s="3409"/>
      <c r="AA4" s="3397" t="s">
        <v>799</v>
      </c>
      <c r="AB4" s="3398" t="s">
        <v>800</v>
      </c>
      <c r="AC4" s="3397" t="s">
        <v>801</v>
      </c>
    </row>
    <row r="5" spans="1:29" ht="15">
      <c r="A5" s="515"/>
      <c r="B5" s="516"/>
      <c r="C5" s="3416" t="s">
        <v>2922</v>
      </c>
      <c r="D5" s="3417"/>
      <c r="E5" s="3437" t="s">
        <v>2923</v>
      </c>
      <c r="F5" s="3438"/>
      <c r="G5" s="3416" t="s">
        <v>2924</v>
      </c>
      <c r="H5" s="3417"/>
      <c r="I5" s="3416" t="s">
        <v>2925</v>
      </c>
      <c r="J5" s="3417"/>
      <c r="K5" s="514"/>
      <c r="L5" s="2134"/>
      <c r="M5" s="2135"/>
      <c r="N5" s="2135"/>
      <c r="O5" s="2135"/>
      <c r="P5" s="3404"/>
      <c r="Q5" s="3405"/>
      <c r="R5" s="3410"/>
      <c r="S5" s="3411"/>
      <c r="T5" s="3410"/>
      <c r="U5" s="3411"/>
      <c r="V5" s="3395"/>
      <c r="W5" s="3395"/>
      <c r="X5" s="1567"/>
      <c r="Y5" s="3410"/>
      <c r="Z5" s="3411"/>
      <c r="AA5" s="3398"/>
      <c r="AB5" s="3398"/>
      <c r="AC5" s="3398"/>
    </row>
    <row r="6" spans="1:29" ht="15.75" thickBot="1">
      <c r="A6" s="517"/>
      <c r="B6" s="518"/>
      <c r="C6" s="3431" t="s">
        <v>2926</v>
      </c>
      <c r="D6" s="3432"/>
      <c r="E6" s="3433" t="s">
        <v>2926</v>
      </c>
      <c r="F6" s="3434"/>
      <c r="G6" s="3431" t="s">
        <v>2926</v>
      </c>
      <c r="H6" s="3432"/>
      <c r="I6" s="3431" t="s">
        <v>2926</v>
      </c>
      <c r="J6" s="3432"/>
      <c r="K6" s="514" t="s">
        <v>528</v>
      </c>
      <c r="L6" s="2134"/>
      <c r="M6" s="2135"/>
      <c r="N6" s="2135"/>
      <c r="O6" s="2135"/>
      <c r="P6" s="3406"/>
      <c r="Q6" s="3407"/>
      <c r="R6" s="3410"/>
      <c r="S6" s="3411"/>
      <c r="T6" s="3412"/>
      <c r="U6" s="3413"/>
      <c r="V6" s="3395"/>
      <c r="W6" s="3395"/>
      <c r="X6" s="1567"/>
      <c r="Y6" s="3412"/>
      <c r="Z6" s="3413"/>
      <c r="AA6" s="3399"/>
      <c r="AB6" s="3399"/>
      <c r="AC6" s="3399"/>
    </row>
    <row r="7" spans="1:29" s="1220" customFormat="1" ht="15.75" thickBot="1">
      <c r="A7" s="2913"/>
      <c r="B7" s="2920" t="s">
        <v>529</v>
      </c>
      <c r="C7" s="519">
        <f>'数据-取费表'!B2</f>
        <v>43402</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24" t="s">
        <v>530</v>
      </c>
      <c r="Q7" s="3426"/>
      <c r="R7" s="1568" t="s">
        <v>8</v>
      </c>
      <c r="S7" s="1569">
        <f t="shared" ref="S7:S14" si="0">F7</f>
        <v>0</v>
      </c>
      <c r="T7" s="1568" t="s">
        <v>8</v>
      </c>
      <c r="U7" s="1569">
        <f t="shared" ref="U7:U14" si="1">H7</f>
        <v>0</v>
      </c>
      <c r="V7" s="1568" t="s">
        <v>8</v>
      </c>
      <c r="W7" s="1569">
        <f t="shared" ref="W7:W14" si="2">J7</f>
        <v>0</v>
      </c>
      <c r="X7" s="1570"/>
      <c r="Y7" s="3424" t="s">
        <v>530</v>
      </c>
      <c r="Z7" s="3425"/>
      <c r="AA7" s="1571" t="e">
        <f>D7/F7</f>
        <v>#DIV/0!</v>
      </c>
      <c r="AB7" s="1571" t="e">
        <f>D7/H7</f>
        <v>#DIV/0!</v>
      </c>
      <c r="AC7" s="1571" t="e">
        <f>D7/J7</f>
        <v>#DIV/0!</v>
      </c>
    </row>
    <row r="8" spans="1:29" s="1220"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24" t="s">
        <v>533</v>
      </c>
      <c r="Q8" s="3425"/>
      <c r="R8" s="1568" t="s">
        <v>8</v>
      </c>
      <c r="S8" s="1569">
        <f t="shared" si="0"/>
        <v>0</v>
      </c>
      <c r="T8" s="1568" t="s">
        <v>8</v>
      </c>
      <c r="U8" s="1569">
        <f t="shared" si="1"/>
        <v>0</v>
      </c>
      <c r="V8" s="1568" t="s">
        <v>8</v>
      </c>
      <c r="W8" s="1569">
        <f t="shared" si="2"/>
        <v>0</v>
      </c>
      <c r="X8" s="1570"/>
      <c r="Y8" s="3424" t="s">
        <v>533</v>
      </c>
      <c r="Z8" s="3425"/>
      <c r="AA8" s="1571" t="e">
        <f t="shared" ref="AA8:AA34" si="3">D8/F8</f>
        <v>#DIV/0!</v>
      </c>
      <c r="AB8" s="1571" t="e">
        <f t="shared" ref="AB8:AB34" si="4">D8/H8</f>
        <v>#DIV/0!</v>
      </c>
      <c r="AC8" s="1571" t="e">
        <f t="shared" ref="AC8:AC34" si="5">D8/J8</f>
        <v>#DIV/0!</v>
      </c>
    </row>
    <row r="9" spans="1:29" s="1220" customFormat="1" ht="15">
      <c r="A9" s="2915"/>
      <c r="B9" s="2922" t="s">
        <v>2755</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94" t="s">
        <v>535</v>
      </c>
      <c r="Q9" s="1151" t="str">
        <f t="shared" ref="Q9:Q14" si="6">B9</f>
        <v>用途</v>
      </c>
      <c r="R9" s="1568" t="s">
        <v>8</v>
      </c>
      <c r="S9" s="1569">
        <f t="shared" si="0"/>
        <v>100</v>
      </c>
      <c r="T9" s="1568" t="s">
        <v>8</v>
      </c>
      <c r="U9" s="1569">
        <f t="shared" si="1"/>
        <v>100</v>
      </c>
      <c r="V9" s="1568" t="s">
        <v>8</v>
      </c>
      <c r="W9" s="1569">
        <f t="shared" si="2"/>
        <v>100</v>
      </c>
      <c r="X9" s="1570"/>
      <c r="Y9" s="3322" t="s">
        <v>536</v>
      </c>
      <c r="Z9" s="1150" t="str">
        <f t="shared" ref="Z9:Z14" si="7">Q9</f>
        <v>用途</v>
      </c>
      <c r="AA9" s="1571">
        <f t="shared" si="3"/>
        <v>1</v>
      </c>
      <c r="AB9" s="1571">
        <f t="shared" si="4"/>
        <v>1</v>
      </c>
      <c r="AC9" s="1571">
        <f t="shared" si="5"/>
        <v>1</v>
      </c>
    </row>
    <row r="10" spans="1:29" s="1338" customFormat="1" ht="27">
      <c r="A10" s="2916"/>
      <c r="B10" s="2921" t="s">
        <v>2756</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94"/>
      <c r="Q10" s="1151" t="str">
        <f t="shared" si="6"/>
        <v>土地使用年限（年）</v>
      </c>
      <c r="R10" s="1568" t="s">
        <v>8</v>
      </c>
      <c r="S10" s="1569">
        <f t="shared" si="0"/>
        <v>100</v>
      </c>
      <c r="T10" s="1568" t="s">
        <v>8</v>
      </c>
      <c r="U10" s="1569">
        <f t="shared" si="1"/>
        <v>100</v>
      </c>
      <c r="V10" s="1568" t="s">
        <v>8</v>
      </c>
      <c r="W10" s="1569">
        <f t="shared" si="2"/>
        <v>100</v>
      </c>
      <c r="X10" s="1570"/>
      <c r="Y10" s="3322"/>
      <c r="Z10" s="1150" t="str">
        <f t="shared" si="7"/>
        <v>土地使用年限（年）</v>
      </c>
      <c r="AA10" s="1571">
        <f t="shared" si="3"/>
        <v>1</v>
      </c>
      <c r="AB10" s="1571">
        <f t="shared" si="4"/>
        <v>1</v>
      </c>
      <c r="AC10" s="1571">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94"/>
      <c r="Q11" s="1151">
        <f t="shared" si="6"/>
        <v>111</v>
      </c>
      <c r="R11" s="1568" t="s">
        <v>8</v>
      </c>
      <c r="S11" s="1569">
        <f t="shared" si="0"/>
        <v>100</v>
      </c>
      <c r="T11" s="1568" t="s">
        <v>8</v>
      </c>
      <c r="U11" s="1569">
        <f t="shared" si="1"/>
        <v>100</v>
      </c>
      <c r="V11" s="1568" t="s">
        <v>8</v>
      </c>
      <c r="W11" s="1569">
        <f t="shared" si="2"/>
        <v>100</v>
      </c>
      <c r="X11" s="1570"/>
      <c r="Y11" s="3322"/>
      <c r="Z11" s="1150">
        <f t="shared" si="7"/>
        <v>111</v>
      </c>
      <c r="AA11" s="1571">
        <f t="shared" si="3"/>
        <v>1</v>
      </c>
      <c r="AB11" s="1571">
        <f t="shared" si="4"/>
        <v>1</v>
      </c>
      <c r="AC11" s="1571">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94"/>
      <c r="Q12" s="1151">
        <f t="shared" si="6"/>
        <v>111</v>
      </c>
      <c r="R12" s="1568" t="s">
        <v>8</v>
      </c>
      <c r="S12" s="1569">
        <f t="shared" si="0"/>
        <v>100</v>
      </c>
      <c r="T12" s="1568" t="s">
        <v>8</v>
      </c>
      <c r="U12" s="1569">
        <f t="shared" si="1"/>
        <v>100</v>
      </c>
      <c r="V12" s="1568" t="s">
        <v>8</v>
      </c>
      <c r="W12" s="1569">
        <f t="shared" si="2"/>
        <v>100</v>
      </c>
      <c r="X12" s="1570"/>
      <c r="Y12" s="3322"/>
      <c r="Z12" s="1150">
        <f t="shared" si="7"/>
        <v>111</v>
      </c>
      <c r="AA12" s="1571">
        <f>D12/F12</f>
        <v>1</v>
      </c>
      <c r="AB12" s="1571">
        <f>D12/H12</f>
        <v>1</v>
      </c>
      <c r="AC12" s="1571">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94"/>
      <c r="Q13" s="1151">
        <f t="shared" si="6"/>
        <v>111</v>
      </c>
      <c r="R13" s="1568" t="s">
        <v>8</v>
      </c>
      <c r="S13" s="1569">
        <f t="shared" si="0"/>
        <v>100</v>
      </c>
      <c r="T13" s="1568" t="s">
        <v>8</v>
      </c>
      <c r="U13" s="1569">
        <f t="shared" si="1"/>
        <v>100</v>
      </c>
      <c r="V13" s="1568" t="s">
        <v>8</v>
      </c>
      <c r="W13" s="1569">
        <f t="shared" si="2"/>
        <v>100</v>
      </c>
      <c r="X13" s="1570"/>
      <c r="Y13" s="3322"/>
      <c r="Z13" s="1150">
        <f t="shared" si="7"/>
        <v>111</v>
      </c>
      <c r="AA13" s="1571">
        <f t="shared" si="3"/>
        <v>1</v>
      </c>
      <c r="AB13" s="1571">
        <f t="shared" si="4"/>
        <v>1</v>
      </c>
      <c r="AC13" s="1571">
        <f t="shared" si="5"/>
        <v>1</v>
      </c>
    </row>
    <row r="14" spans="1:29" ht="15">
      <c r="A14" s="2911" t="s">
        <v>2753</v>
      </c>
      <c r="B14" s="166" t="s">
        <v>543</v>
      </c>
      <c r="C14" s="921" t="str">
        <f>IF(B1="工业",估价对象房地状况!G4,估价对象房地状况!C6)</f>
        <v>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27" t="s">
        <v>540</v>
      </c>
      <c r="Q14" s="1572" t="str">
        <f t="shared" si="6"/>
        <v>交通便捷度</v>
      </c>
      <c r="R14" s="1573" t="s">
        <v>8</v>
      </c>
      <c r="S14" s="1574">
        <f t="shared" si="0"/>
        <v>100</v>
      </c>
      <c r="T14" s="1573" t="s">
        <v>8</v>
      </c>
      <c r="U14" s="1574">
        <f t="shared" si="1"/>
        <v>100</v>
      </c>
      <c r="V14" s="1573" t="s">
        <v>8</v>
      </c>
      <c r="W14" s="1574">
        <f t="shared" si="2"/>
        <v>100</v>
      </c>
      <c r="X14" s="1567"/>
      <c r="Y14" s="3427"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428"/>
      <c r="Q15" s="1572"/>
      <c r="R15" s="1573"/>
      <c r="S15" s="1574"/>
      <c r="T15" s="1573"/>
      <c r="U15" s="1574"/>
      <c r="V15" s="1573"/>
      <c r="W15" s="1574"/>
      <c r="X15" s="1567"/>
      <c r="Y15" s="3428"/>
      <c r="Z15" s="1575"/>
      <c r="AA15" s="1576">
        <v>1</v>
      </c>
      <c r="AB15" s="1576">
        <v>1</v>
      </c>
      <c r="AC15" s="1576">
        <v>1</v>
      </c>
    </row>
    <row r="16" spans="1:29" ht="15">
      <c r="A16" s="532"/>
      <c r="B16" s="2604" t="s">
        <v>2546</v>
      </c>
      <c r="C16" s="872" t="str">
        <f>IF(B1="工业",估价对象房地状况!G5,估价对象房地状况!C7)</f>
        <v>较好</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28"/>
      <c r="Q16" s="1572" t="str">
        <f>B16</f>
        <v>公共配套设施</v>
      </c>
      <c r="R16" s="1573" t="s">
        <v>8</v>
      </c>
      <c r="S16" s="1574">
        <f>F16</f>
        <v>100</v>
      </c>
      <c r="T16" s="1573" t="s">
        <v>8</v>
      </c>
      <c r="U16" s="1574">
        <f>H16</f>
        <v>100</v>
      </c>
      <c r="V16" s="1573" t="s">
        <v>8</v>
      </c>
      <c r="W16" s="1574">
        <f>J16</f>
        <v>100</v>
      </c>
      <c r="X16" s="1567"/>
      <c r="Y16" s="3428"/>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428"/>
      <c r="Q17" s="1572"/>
      <c r="R17" s="1573"/>
      <c r="S17" s="1574"/>
      <c r="T17" s="1573"/>
      <c r="U17" s="1574"/>
      <c r="V17" s="1573"/>
      <c r="W17" s="1574"/>
      <c r="X17" s="1567"/>
      <c r="Y17" s="3428"/>
      <c r="Z17" s="1575"/>
      <c r="AA17" s="1576">
        <v>1</v>
      </c>
      <c r="AB17" s="1576">
        <v>1</v>
      </c>
      <c r="AC17" s="1576">
        <v>1</v>
      </c>
    </row>
    <row r="18" spans="1:29" ht="15">
      <c r="A18" s="532"/>
      <c r="B18" s="2592" t="s">
        <v>2558</v>
      </c>
      <c r="C18" s="872" t="str">
        <f>IF(B1="工业",估价对象房地状况!G6,估价对象房地状况!C8)</f>
        <v>七通</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28"/>
      <c r="Q18" s="2580" t="str">
        <f>B18</f>
        <v>基础设施水平</v>
      </c>
      <c r="R18" s="1573" t="s">
        <v>8</v>
      </c>
      <c r="S18" s="1574">
        <f>F18</f>
        <v>100</v>
      </c>
      <c r="T18" s="1573" t="s">
        <v>8</v>
      </c>
      <c r="U18" s="1574">
        <f>H18</f>
        <v>100</v>
      </c>
      <c r="V18" s="1573" t="s">
        <v>8</v>
      </c>
      <c r="W18" s="1574">
        <f>J18</f>
        <v>100</v>
      </c>
      <c r="X18" s="2582"/>
      <c r="Y18" s="3428"/>
      <c r="Z18" s="2581"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3"/>
      <c r="L19" s="2143"/>
      <c r="M19" s="2135"/>
      <c r="N19" s="2135"/>
      <c r="O19" s="2142"/>
      <c r="P19" s="3428"/>
      <c r="Q19" s="2580"/>
      <c r="R19" s="1573"/>
      <c r="S19" s="1574"/>
      <c r="T19" s="1573"/>
      <c r="U19" s="1574"/>
      <c r="V19" s="1573"/>
      <c r="W19" s="1574"/>
      <c r="X19" s="2582"/>
      <c r="Y19" s="3428"/>
      <c r="Z19" s="2581"/>
      <c r="AA19" s="1576">
        <v>1</v>
      </c>
      <c r="AB19" s="1576">
        <v>1</v>
      </c>
      <c r="AC19" s="1576">
        <v>1</v>
      </c>
    </row>
    <row r="20" spans="1:29" ht="15">
      <c r="A20" s="532"/>
      <c r="B20" s="871" t="s">
        <v>804</v>
      </c>
      <c r="C20" s="872" t="str">
        <f>IF(B1="工业",估价对象房地状况!G7,估价对象房地状况!C9)</f>
        <v>较好</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28"/>
      <c r="Q20" s="1572" t="str">
        <f>B20</f>
        <v>自然及人文环境</v>
      </c>
      <c r="R20" s="1573" t="s">
        <v>8</v>
      </c>
      <c r="S20" s="1574">
        <f>F20</f>
        <v>100</v>
      </c>
      <c r="T20" s="1573" t="s">
        <v>8</v>
      </c>
      <c r="U20" s="1574">
        <f>H20</f>
        <v>100</v>
      </c>
      <c r="V20" s="1573" t="s">
        <v>8</v>
      </c>
      <c r="W20" s="1574">
        <f>J20</f>
        <v>100</v>
      </c>
      <c r="X20" s="1567"/>
      <c r="Y20" s="3428"/>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428"/>
      <c r="Q21" s="1572"/>
      <c r="R21" s="1573"/>
      <c r="S21" s="1574"/>
      <c r="T21" s="1573"/>
      <c r="U21" s="1574"/>
      <c r="V21" s="1573"/>
      <c r="W21" s="1574"/>
      <c r="X21" s="1567"/>
      <c r="Y21" s="3428"/>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28"/>
      <c r="Q22" s="1572" t="str">
        <f>B22</f>
        <v>楼层</v>
      </c>
      <c r="R22" s="1573" t="s">
        <v>8</v>
      </c>
      <c r="S22" s="1574">
        <f>F22</f>
        <v>100</v>
      </c>
      <c r="T22" s="1573" t="s">
        <v>8</v>
      </c>
      <c r="U22" s="1574">
        <f>H22</f>
        <v>100</v>
      </c>
      <c r="V22" s="1573" t="s">
        <v>8</v>
      </c>
      <c r="W22" s="1574">
        <f>J22</f>
        <v>100</v>
      </c>
      <c r="X22" s="1567"/>
      <c r="Y22" s="3428"/>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28"/>
      <c r="Q23" s="1572">
        <f>B23</f>
        <v>111</v>
      </c>
      <c r="R23" s="1573" t="s">
        <v>8</v>
      </c>
      <c r="S23" s="1574">
        <f>F23</f>
        <v>100</v>
      </c>
      <c r="T23" s="1573" t="s">
        <v>8</v>
      </c>
      <c r="U23" s="1574">
        <f>H23</f>
        <v>100</v>
      </c>
      <c r="V23" s="1573" t="s">
        <v>8</v>
      </c>
      <c r="W23" s="1574">
        <f>J23</f>
        <v>100</v>
      </c>
      <c r="X23" s="1567"/>
      <c r="Y23" s="3428"/>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28"/>
      <c r="Q24" s="1572">
        <f t="shared" ref="Q24:Q34" si="11">B24</f>
        <v>111</v>
      </c>
      <c r="R24" s="1573" t="s">
        <v>8</v>
      </c>
      <c r="S24" s="1574">
        <f>F24</f>
        <v>100</v>
      </c>
      <c r="T24" s="1573" t="s">
        <v>8</v>
      </c>
      <c r="U24" s="1574">
        <f>H24</f>
        <v>100</v>
      </c>
      <c r="V24" s="1573" t="s">
        <v>8</v>
      </c>
      <c r="W24" s="1574">
        <f>J24</f>
        <v>100</v>
      </c>
      <c r="X24" s="1567"/>
      <c r="Y24" s="3428"/>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28"/>
      <c r="Q25" s="1151">
        <f t="shared" si="11"/>
        <v>111</v>
      </c>
      <c r="R25" s="1568" t="s">
        <v>8</v>
      </c>
      <c r="S25" s="1569">
        <f>F25</f>
        <v>100</v>
      </c>
      <c r="T25" s="1568" t="s">
        <v>8</v>
      </c>
      <c r="U25" s="1569">
        <f>H25</f>
        <v>100</v>
      </c>
      <c r="V25" s="1568" t="s">
        <v>8</v>
      </c>
      <c r="W25" s="1569">
        <f>J25</f>
        <v>100</v>
      </c>
      <c r="X25" s="1570"/>
      <c r="Y25" s="3428"/>
      <c r="Z25" s="1150">
        <f>Q25</f>
        <v>111</v>
      </c>
      <c r="AA25" s="1576">
        <f>D25/F25</f>
        <v>1</v>
      </c>
      <c r="AB25" s="1576">
        <f>D25/H25</f>
        <v>1</v>
      </c>
      <c r="AC25" s="1576">
        <f>D25/J25</f>
        <v>1</v>
      </c>
    </row>
    <row r="26" spans="1:29" ht="15">
      <c r="A26" s="2908"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29"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30"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30"/>
      <c r="Q27" s="1605" t="str">
        <f t="shared" si="11"/>
        <v>成新率</v>
      </c>
      <c r="R27" s="1577" t="s">
        <v>8</v>
      </c>
      <c r="S27" s="1578" t="e">
        <f t="shared" si="12"/>
        <v>#N/A</v>
      </c>
      <c r="T27" s="1577" t="s">
        <v>8</v>
      </c>
      <c r="U27" s="1578" t="e">
        <f t="shared" si="13"/>
        <v>#N/A</v>
      </c>
      <c r="V27" s="1577" t="s">
        <v>8</v>
      </c>
      <c r="W27" s="1578" t="e">
        <f t="shared" si="14"/>
        <v>#N/A</v>
      </c>
      <c r="X27" s="1579"/>
      <c r="Y27" s="3430"/>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30"/>
      <c r="Q28" s="1572" t="str">
        <f t="shared" si="11"/>
        <v>物业等级</v>
      </c>
      <c r="R28" s="1573" t="s">
        <v>8</v>
      </c>
      <c r="S28" s="1574">
        <f t="shared" si="12"/>
        <v>100</v>
      </c>
      <c r="T28" s="1573" t="s">
        <v>8</v>
      </c>
      <c r="U28" s="1574">
        <f t="shared" si="13"/>
        <v>100</v>
      </c>
      <c r="V28" s="1573" t="s">
        <v>8</v>
      </c>
      <c r="W28" s="1574">
        <f t="shared" si="14"/>
        <v>100</v>
      </c>
      <c r="X28" s="1567"/>
      <c r="Y28" s="3430"/>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30"/>
      <c r="Q29" s="1572" t="str">
        <f t="shared" si="11"/>
        <v>有无电梯</v>
      </c>
      <c r="R29" s="1573" t="s">
        <v>8</v>
      </c>
      <c r="S29" s="1574">
        <f t="shared" si="12"/>
        <v>100</v>
      </c>
      <c r="T29" s="1573" t="s">
        <v>8</v>
      </c>
      <c r="U29" s="1574">
        <f t="shared" si="13"/>
        <v>100</v>
      </c>
      <c r="V29" s="1573" t="s">
        <v>8</v>
      </c>
      <c r="W29" s="1574">
        <f t="shared" si="14"/>
        <v>100</v>
      </c>
      <c r="X29" s="1567"/>
      <c r="Y29" s="3430"/>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30"/>
      <c r="Q30" s="1572" t="str">
        <f t="shared" si="11"/>
        <v>建筑面积</v>
      </c>
      <c r="R30" s="1573" t="s">
        <v>8</v>
      </c>
      <c r="S30" s="1574" t="e">
        <f t="shared" si="12"/>
        <v>#N/A</v>
      </c>
      <c r="T30" s="1573" t="s">
        <v>8</v>
      </c>
      <c r="U30" s="1574" t="e">
        <f t="shared" si="13"/>
        <v>#N/A</v>
      </c>
      <c r="V30" s="1573" t="s">
        <v>8</v>
      </c>
      <c r="W30" s="1574" t="e">
        <f t="shared" si="14"/>
        <v>#N/A</v>
      </c>
      <c r="X30" s="1567"/>
      <c r="Y30" s="3430"/>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30"/>
      <c r="Q31" s="1151" t="str">
        <f t="shared" si="11"/>
        <v>是否封闭</v>
      </c>
      <c r="R31" s="1568" t="s">
        <v>8</v>
      </c>
      <c r="S31" s="1569">
        <f t="shared" si="12"/>
        <v>100</v>
      </c>
      <c r="T31" s="1568" t="s">
        <v>8</v>
      </c>
      <c r="U31" s="1569">
        <f t="shared" si="13"/>
        <v>100</v>
      </c>
      <c r="V31" s="1568" t="s">
        <v>8</v>
      </c>
      <c r="W31" s="1569">
        <f t="shared" si="14"/>
        <v>100</v>
      </c>
      <c r="X31" s="1570"/>
      <c r="Y31" s="3430"/>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30" t="s">
        <v>550</v>
      </c>
      <c r="Q32" s="1572">
        <f t="shared" si="11"/>
        <v>111</v>
      </c>
      <c r="R32" s="1573" t="s">
        <v>8</v>
      </c>
      <c r="S32" s="1574">
        <f t="shared" si="12"/>
        <v>100</v>
      </c>
      <c r="T32" s="1573" t="s">
        <v>8</v>
      </c>
      <c r="U32" s="1574">
        <f t="shared" si="13"/>
        <v>100</v>
      </c>
      <c r="V32" s="1573" t="s">
        <v>8</v>
      </c>
      <c r="W32" s="1574">
        <f t="shared" si="14"/>
        <v>100</v>
      </c>
      <c r="X32" s="1567"/>
      <c r="Y32" s="3430"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30"/>
      <c r="Q33" s="1572">
        <f t="shared" si="11"/>
        <v>111</v>
      </c>
      <c r="R33" s="1573" t="s">
        <v>8</v>
      </c>
      <c r="S33" s="1574">
        <f t="shared" si="12"/>
        <v>100</v>
      </c>
      <c r="T33" s="1573" t="s">
        <v>8</v>
      </c>
      <c r="U33" s="1574">
        <f t="shared" si="13"/>
        <v>100</v>
      </c>
      <c r="V33" s="1573" t="s">
        <v>8</v>
      </c>
      <c r="W33" s="1574">
        <f t="shared" si="14"/>
        <v>100</v>
      </c>
      <c r="X33" s="1567"/>
      <c r="Y33" s="3430"/>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30"/>
      <c r="Q34" s="1572">
        <f t="shared" si="11"/>
        <v>111</v>
      </c>
      <c r="R34" s="1573" t="s">
        <v>8</v>
      </c>
      <c r="S34" s="1574">
        <f t="shared" si="12"/>
        <v>100</v>
      </c>
      <c r="T34" s="1573" t="s">
        <v>8</v>
      </c>
      <c r="U34" s="1574">
        <f t="shared" si="13"/>
        <v>100</v>
      </c>
      <c r="V34" s="1573" t="s">
        <v>8</v>
      </c>
      <c r="W34" s="1574">
        <f t="shared" si="14"/>
        <v>100</v>
      </c>
      <c r="X34" s="1567"/>
      <c r="Y34" s="3430"/>
      <c r="Z34" s="1575">
        <f t="shared" si="15"/>
        <v>111</v>
      </c>
      <c r="AA34" s="1576">
        <f t="shared" si="3"/>
        <v>1</v>
      </c>
      <c r="AB34" s="1576">
        <f t="shared" si="4"/>
        <v>1</v>
      </c>
      <c r="AC34" s="1576">
        <f t="shared" si="5"/>
        <v>1</v>
      </c>
    </row>
    <row r="35" spans="1:29" ht="15">
      <c r="A35" s="607" t="s">
        <v>736</v>
      </c>
      <c r="B35" s="887"/>
      <c r="C35" s="2628" t="s">
        <v>1</v>
      </c>
      <c r="D35" s="2629"/>
      <c r="E35" s="2630"/>
      <c r="F35" s="2631"/>
      <c r="G35" s="2632"/>
      <c r="H35" s="2633"/>
      <c r="I35" s="2630"/>
      <c r="J35" s="2633"/>
      <c r="K35" s="1611"/>
      <c r="L35" s="2145"/>
      <c r="M35" s="2146"/>
      <c r="N35" s="2135"/>
      <c r="O35" s="2146"/>
      <c r="P35" s="3394" t="str">
        <f>A35</f>
        <v>成交单价（元/平方米）</v>
      </c>
      <c r="Q35" s="3394"/>
      <c r="R35" s="3490">
        <f>E35</f>
        <v>0</v>
      </c>
      <c r="S35" s="3490"/>
      <c r="T35" s="3490">
        <f>G35</f>
        <v>0</v>
      </c>
      <c r="U35" s="3490"/>
      <c r="V35" s="3490">
        <f>I35</f>
        <v>0</v>
      </c>
      <c r="W35" s="3490"/>
      <c r="X35" s="1559"/>
      <c r="Y35" s="1581"/>
      <c r="Z35" s="1559"/>
      <c r="AA35" s="1559"/>
      <c r="AB35" s="1559"/>
      <c r="AC35" s="1559"/>
    </row>
    <row r="36" spans="1:29" ht="15.75" thickBot="1">
      <c r="A36" s="615" t="s">
        <v>2759</v>
      </c>
      <c r="B36" s="888"/>
      <c r="C36" s="2634" t="e">
        <f>R37</f>
        <v>#DIV/0!</v>
      </c>
      <c r="D36" s="2635"/>
      <c r="E36" s="2636" t="e">
        <f>R36</f>
        <v>#DIV/0!</v>
      </c>
      <c r="F36" s="2636"/>
      <c r="G36" s="2634" t="e">
        <f>T36</f>
        <v>#DIV/0!</v>
      </c>
      <c r="H36" s="2635"/>
      <c r="I36" s="2636" t="e">
        <f>V36</f>
        <v>#DIV/0!</v>
      </c>
      <c r="J36" s="2635"/>
      <c r="K36" s="1612"/>
      <c r="L36" s="2145"/>
      <c r="M36" s="2146"/>
      <c r="N36" s="2135"/>
      <c r="O36" s="2146"/>
      <c r="P36" s="3394" t="str">
        <f>A36</f>
        <v>比较价格（元/平方米）</v>
      </c>
      <c r="Q36" s="3394"/>
      <c r="R36" s="3490" t="e">
        <f>IF(F1="售价",ROUND(PRODUCT(R35,AA7:AA34),0),ROUND(PRODUCT(R35,AA7:AA34),1))</f>
        <v>#DIV/0!</v>
      </c>
      <c r="S36" s="3490"/>
      <c r="T36" s="3490" t="e">
        <f>IF(F1="售价",ROUND(PRODUCT(T35,AB7:AB34),0),ROUND(PRODUCT(T35,AB7:AB34),1))</f>
        <v>#DIV/0!</v>
      </c>
      <c r="U36" s="3490"/>
      <c r="V36" s="3490" t="e">
        <f>IF(F1="售价",ROUND(PRODUCT(V35,AC7:AC34),0),ROUND(PRODUCT(V35,AC7:AC34),1))</f>
        <v>#DIV/0!</v>
      </c>
      <c r="W36" s="3490"/>
      <c r="X36" s="1559"/>
      <c r="Y36" s="1559"/>
      <c r="Z36" s="1559"/>
      <c r="AA36" s="1559"/>
      <c r="AB36" s="1559"/>
      <c r="AC36" s="1559"/>
    </row>
    <row r="37" spans="1:29" ht="15.75" thickBot="1">
      <c r="A37" s="621" t="s">
        <v>2928</v>
      </c>
      <c r="B37" s="622"/>
      <c r="C37" s="2637" t="e">
        <f>R37</f>
        <v>#DIV/0!</v>
      </c>
      <c r="D37" s="2637"/>
      <c r="E37" s="2637"/>
      <c r="F37" s="2637"/>
      <c r="G37" s="2637"/>
      <c r="H37" s="2637"/>
      <c r="I37" s="2637"/>
      <c r="J37" s="2637"/>
      <c r="K37" s="1613"/>
      <c r="L37" s="2145"/>
      <c r="M37" s="2146"/>
      <c r="N37" s="2146"/>
      <c r="O37" s="2146"/>
      <c r="P37" s="3391" t="str">
        <f>A37</f>
        <v>估价对象XX用房的比较价格（楼面单价，元/平方米）</v>
      </c>
      <c r="Q37" s="3392"/>
      <c r="R37" s="3489" t="e">
        <f>IF(F1="售价",ROUND(AVERAGE(R36:V36),0),ROUND(AVERAGE(R36:V36),1))</f>
        <v>#DIV/0!</v>
      </c>
      <c r="S37" s="3489"/>
      <c r="T37" s="3489"/>
      <c r="U37" s="3489"/>
      <c r="V37" s="3489"/>
      <c r="W37" s="3489"/>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529</v>
      </c>
      <c r="B46" s="646"/>
      <c r="C46" s="2803" t="str">
        <f>YEAR(C7)&amp;"-"&amp;MONTH(C7)</f>
        <v>2018-10</v>
      </c>
      <c r="D46" s="2805">
        <f>EDATE(C46,-1)</f>
        <v>43344</v>
      </c>
      <c r="E46" s="2805">
        <f t="shared" ref="E46:O46" si="16">EDATE(D46,-1)</f>
        <v>43313</v>
      </c>
      <c r="F46" s="2805">
        <f t="shared" si="16"/>
        <v>43282</v>
      </c>
      <c r="G46" s="2805">
        <f t="shared" si="16"/>
        <v>43252</v>
      </c>
      <c r="H46" s="2805">
        <f t="shared" si="16"/>
        <v>43221</v>
      </c>
      <c r="I46" s="2805">
        <f t="shared" si="16"/>
        <v>43191</v>
      </c>
      <c r="J46" s="2805">
        <f t="shared" si="16"/>
        <v>43160</v>
      </c>
      <c r="K46" s="2805">
        <f t="shared" si="16"/>
        <v>43132</v>
      </c>
      <c r="L46" s="2805">
        <f t="shared" si="16"/>
        <v>43101</v>
      </c>
      <c r="M46" s="2805">
        <f t="shared" si="16"/>
        <v>43070</v>
      </c>
      <c r="N46" s="2805">
        <f t="shared" si="16"/>
        <v>43040</v>
      </c>
      <c r="O46" s="2805">
        <f t="shared" si="16"/>
        <v>43009</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2557</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8" t="s">
        <v>2558</v>
      </c>
      <c r="C65" s="2599" t="s">
        <v>2559</v>
      </c>
      <c r="D65" s="2599" t="s">
        <v>2560</v>
      </c>
      <c r="E65" s="2599" t="s">
        <v>2561</v>
      </c>
      <c r="F65" s="2599" t="s">
        <v>2562</v>
      </c>
      <c r="G65" s="2599" t="s">
        <v>2563</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2304</v>
      </c>
      <c r="C1" s="3500" t="s">
        <v>2305</v>
      </c>
      <c r="D1" s="3501"/>
      <c r="E1" s="3501"/>
      <c r="F1" s="3501"/>
      <c r="G1" s="3501"/>
      <c r="H1" s="3501"/>
      <c r="I1" s="3501"/>
      <c r="J1" s="3501"/>
      <c r="K1" s="3501"/>
      <c r="L1" s="3501"/>
      <c r="M1" s="3501"/>
      <c r="N1" s="3501"/>
      <c r="O1" s="3501"/>
      <c r="P1" s="3501"/>
      <c r="Q1" s="3501"/>
      <c r="R1" s="3501"/>
      <c r="S1" s="3502"/>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91" t="s">
        <v>2921</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3" t="s">
        <v>2920</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3" t="s">
        <v>2919</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2"/>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91" t="s">
        <v>2933</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91" t="s">
        <v>2918</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91" t="s">
        <v>2917</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97" t="s">
        <v>20</v>
      </c>
      <c r="D22" s="3498"/>
      <c r="E22" s="3498"/>
      <c r="F22" s="3498"/>
      <c r="G22" s="3498"/>
      <c r="H22" s="3498"/>
      <c r="I22" s="3498"/>
      <c r="J22" s="3498"/>
      <c r="K22" s="3498"/>
      <c r="L22" s="3498"/>
      <c r="M22" s="3498"/>
      <c r="N22" s="3498"/>
      <c r="O22" s="3498"/>
      <c r="P22" s="3498"/>
      <c r="Q22" s="3499"/>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1904</v>
      </c>
    </row>
    <row r="2" spans="1:4">
      <c r="A2" s="1780"/>
    </row>
    <row r="3" spans="1:4" ht="18.75">
      <c r="A3" s="1798" t="str">
        <f>项目基本情况!B5&amp;"："</f>
        <v>北京精图科工贸集团：</v>
      </c>
    </row>
    <row r="4" spans="1:4" ht="37.5">
      <c r="A4" s="1792" t="str">
        <f>"受贵公司委托，我公司对"&amp;项目基本情况!K2&amp;项目基本情况!B9&amp;"进行了预评估。"</f>
        <v>受贵公司委托，我公司对北京市丰台区西三环南路16号商务金融用地出让国有建设用地使用权出让国有建设用地使用权抵押价格进行了预评估。</v>
      </c>
    </row>
    <row r="5" spans="1:4" ht="18.75">
      <c r="A5" s="1795" t="s">
        <v>1905</v>
      </c>
    </row>
    <row r="6" spans="1:4" ht="93.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精图科工贸集团使用的、位于北京市丰台区西三环南路16号商务金融用地出让国有建设用地使用权出让国有建设用地使用权。根据《不动产权证书》[京（2017）丰不动产权第0000229号]，估价对象（分摊）出让国有建设用地使用权面积为20439.42平方米。根据《建设工程规划许可证》[]、《出让合同》[]，估价对象规划建筑面积为51512平方米。</v>
      </c>
    </row>
    <row r="7" spans="1:4" ht="93.75">
      <c r="A7" s="2874" t="s">
        <v>2747</v>
      </c>
    </row>
    <row r="8" spans="1:4" ht="18.75">
      <c r="A8" s="1795" t="s">
        <v>1906</v>
      </c>
    </row>
    <row r="9" spans="1:4" ht="56.25">
      <c r="A9" s="1797" t="str">
        <f>IF(项目基本情况!B8="抵押",IF(项目基本情况!B5=项目基本情况!B6,定义!C51,定义!B51),定义!D51)</f>
        <v>委托估价方在向金融机构（农商行）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2018年10月29日（评估专业人员勘察现场之日）</v>
      </c>
    </row>
    <row r="12" spans="1:4" ht="18.75">
      <c r="A12" s="1798" t="s">
        <v>2026</v>
      </c>
    </row>
    <row r="13" spans="1:4" ht="18.75">
      <c r="A13" s="1792" t="s">
        <v>2072</v>
      </c>
    </row>
    <row r="14" spans="1:4" ht="37.5">
      <c r="A14" s="1792" t="str">
        <f>"根据"&amp;项目基本情况!F12&amp;"，本次评估估价对象证载（地类）用途为"&amp;项目基本情况!B12&amp;"。"</f>
        <v>根据《不动产权证书》[京（2017）丰不动产权第0000229号]，本次评估估价对象证载（地类）用途为商务金融用地。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7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根据《不动产权证书》[京（2017）丰不动产权第0000229号]，估价对象（分摊）出让国有建设用地使用权面积为20439.42平方米。根据《建设工程规划许可证》[]、《出让合同》[]，估价对象规划建筑面积为51512平方米。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76" t="s">
        <v>2748</v>
      </c>
    </row>
    <row r="24" spans="1:1" ht="18.75">
      <c r="A24" s="1792" t="s">
        <v>2076</v>
      </c>
    </row>
    <row r="25" spans="1:1" ht="93.75">
      <c r="A25" s="1792" t="str">
        <f>定义!C53</f>
        <v>本次估价的“出让国有建设用地使用权价格”是指在估价对象土地所有权为国家所有，使用权性质为出让，在公开市场条件下、于估价期日2018年10月29日，在规划利用条件下、设定土地开发程度为红线外“七通”、宗地内场地平整，设定用途为商业，剩余土地使用年限为商业38.58年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2" t="str">
        <f>IF(项目基本情况!E9="——","",定义!C57)</f>
        <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2787</v>
      </c>
      <c r="C1" s="3005">
        <f>项目基本情况!D3</f>
        <v>43402</v>
      </c>
      <c r="H1" s="2939">
        <f>IF(C1&gt;C13,0,MATCH(C1,C$13:C$100,-1))+IF(SUMIF(C13:C100,C1,D13:D100)=0,13,12)</f>
        <v>13</v>
      </c>
      <c r="I1" s="2939">
        <f>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2818</v>
      </c>
      <c r="C2" s="3006">
        <f>'数据-取费表'!B22</f>
        <v>2</v>
      </c>
      <c r="D2" s="3001" t="s">
        <v>2788</v>
      </c>
      <c r="E2" s="3004">
        <f ca="1">INDIRECT("I"&amp;$I$1)/100</f>
        <v>4.7500000000000001E-2</v>
      </c>
      <c r="G2" s="2941"/>
      <c r="H2" s="2941"/>
      <c r="I2" s="2941" t="s">
        <v>2789</v>
      </c>
      <c r="K2" s="2941"/>
      <c r="L2" s="2941"/>
      <c r="M2" s="2941"/>
      <c r="N2" s="2941" t="s">
        <v>2790</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2820</v>
      </c>
      <c r="C3" s="3003">
        <f>'数据-取费表'!B19</f>
        <v>0</v>
      </c>
      <c r="D3" s="3001" t="s">
        <v>2788</v>
      </c>
      <c r="E3" s="3004">
        <f ca="1">INDIRECT("J"&amp;$J$1)/100</f>
        <v>0</v>
      </c>
      <c r="G3" s="2943" t="s">
        <v>2791</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2819</v>
      </c>
      <c r="C4" s="3004">
        <f ca="1">N4/100</f>
        <v>1.4999999999999999E-2</v>
      </c>
      <c r="G4" s="2949" t="s">
        <v>2792</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2793</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2794</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2795</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2796</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2797</v>
      </c>
      <c r="C10" s="2968"/>
      <c r="D10" s="2968"/>
      <c r="E10" s="2968"/>
      <c r="F10" s="2968"/>
      <c r="G10" s="2968"/>
      <c r="H10" s="2968"/>
      <c r="I10" s="2942"/>
      <c r="J10" s="2942"/>
      <c r="K10" s="2968"/>
      <c r="L10" s="2969" t="s">
        <v>2798</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2799</v>
      </c>
      <c r="C11" s="2973" t="s">
        <v>2800</v>
      </c>
      <c r="D11" s="2974" t="s">
        <v>2801</v>
      </c>
      <c r="E11" s="2975"/>
      <c r="F11" s="2974" t="s">
        <v>2802</v>
      </c>
      <c r="G11" s="2976"/>
      <c r="H11" s="2975"/>
      <c r="I11" s="2974" t="s">
        <v>2803</v>
      </c>
      <c r="J11" s="2975"/>
      <c r="K11" s="2971"/>
      <c r="L11" s="2972" t="s">
        <v>2799</v>
      </c>
      <c r="M11" s="2973" t="s">
        <v>2800</v>
      </c>
      <c r="N11" s="2972" t="s">
        <v>2804</v>
      </c>
      <c r="O11" s="2974" t="s">
        <v>2805</v>
      </c>
      <c r="P11" s="2976"/>
      <c r="Q11" s="2976"/>
      <c r="R11" s="2976"/>
      <c r="S11" s="2976"/>
      <c r="T11" s="2975"/>
      <c r="U11" s="2974" t="s">
        <v>2806</v>
      </c>
      <c r="V11" s="2976"/>
      <c r="W11" s="2975"/>
      <c r="X11" s="2972" t="s">
        <v>2807</v>
      </c>
      <c r="Y11" s="2972" t="s">
        <v>2808</v>
      </c>
      <c r="Z11" s="2972" t="s">
        <v>2809</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2810</v>
      </c>
      <c r="E12" s="2981" t="s">
        <v>2811</v>
      </c>
      <c r="F12" s="2981" t="s">
        <v>2812</v>
      </c>
      <c r="G12" s="2981" t="s">
        <v>2813</v>
      </c>
      <c r="H12" s="2981" t="s">
        <v>2795</v>
      </c>
      <c r="I12" s="2982" t="s">
        <v>2814</v>
      </c>
      <c r="J12" s="2982" t="s">
        <v>2814</v>
      </c>
      <c r="K12" s="2978"/>
      <c r="L12" s="2979"/>
      <c r="M12" s="2980"/>
      <c r="N12" s="2979"/>
      <c r="O12" s="2982" t="s">
        <v>2815</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2816</v>
      </c>
      <c r="C13" s="2986">
        <v>42301</v>
      </c>
      <c r="D13" s="2987">
        <v>4.3499999999999996</v>
      </c>
      <c r="E13" s="2987">
        <v>4.3499999999999996</v>
      </c>
      <c r="F13" s="2987">
        <v>4.75</v>
      </c>
      <c r="G13" s="2987">
        <v>4.75</v>
      </c>
      <c r="H13" s="2987">
        <v>4.9000000000000004</v>
      </c>
      <c r="I13" s="2987">
        <v>2.75</v>
      </c>
      <c r="J13" s="2987">
        <v>3.25</v>
      </c>
      <c r="K13" s="2984"/>
      <c r="L13" s="2985" t="s">
        <v>2816</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2817</v>
      </c>
      <c r="Y42" s="2991" t="s">
        <v>2817</v>
      </c>
      <c r="Z42" s="2991" t="s">
        <v>2817</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2817</v>
      </c>
      <c r="Y43" s="2991" t="s">
        <v>2817</v>
      </c>
      <c r="Z43" s="2991" t="s">
        <v>2817</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2817</v>
      </c>
      <c r="Y44" s="2991" t="s">
        <v>2817</v>
      </c>
      <c r="Z44" s="2991" t="s">
        <v>2817</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2817</v>
      </c>
      <c r="Y45" s="2991" t="s">
        <v>2817</v>
      </c>
      <c r="Z45" s="2991" t="s">
        <v>2817</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2817</v>
      </c>
      <c r="Y46" s="2991" t="s">
        <v>2817</v>
      </c>
      <c r="Z46" s="2991" t="s">
        <v>2817</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2817</v>
      </c>
      <c r="Y47" s="2991" t="s">
        <v>2817</v>
      </c>
      <c r="Z47" s="2991" t="s">
        <v>2817</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2817</v>
      </c>
      <c r="Y48" s="2991" t="s">
        <v>2817</v>
      </c>
      <c r="Z48" s="2991" t="s">
        <v>2817</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2817</v>
      </c>
      <c r="Y49" s="2991" t="s">
        <v>2817</v>
      </c>
      <c r="Z49" s="2991" t="s">
        <v>2817</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2817</v>
      </c>
      <c r="Y50" s="2991" t="s">
        <v>2817</v>
      </c>
      <c r="Z50" s="2991" t="s">
        <v>2817</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2817</v>
      </c>
      <c r="V51" s="2991" t="s">
        <v>2817</v>
      </c>
      <c r="W51" s="2991" t="s">
        <v>2817</v>
      </c>
      <c r="X51" s="2991" t="s">
        <v>2817</v>
      </c>
      <c r="Y51" s="2991" t="s">
        <v>2817</v>
      </c>
      <c r="Z51" s="2991" t="s">
        <v>2817</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2817</v>
      </c>
      <c r="J55" s="2991" t="s">
        <v>2817</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I46" sqref="I46"/>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3008</v>
      </c>
      <c r="D1" s="3127" t="s">
        <v>3415</v>
      </c>
      <c r="E1" s="2388" t="s">
        <v>2374</v>
      </c>
      <c r="F1" s="2389">
        <f ca="1">J53</f>
        <v>36.58</v>
      </c>
      <c r="G1" s="774">
        <f>MATCH(C1,'数据-取费表'!A6:A16,0)+5</f>
        <v>7</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22125</v>
      </c>
      <c r="C2" s="2058"/>
      <c r="D2" s="2056"/>
      <c r="E2" s="2057"/>
      <c r="F2" s="2057"/>
      <c r="G2" s="1590"/>
      <c r="H2" s="2058"/>
      <c r="I2" s="2058"/>
      <c r="J2" s="2058"/>
      <c r="K2" s="2059"/>
      <c r="L2" s="2058"/>
      <c r="M2" s="2058"/>
    </row>
    <row r="3" spans="1:33" ht="18" customHeight="1" thickBot="1">
      <c r="A3" s="833" t="s">
        <v>1727</v>
      </c>
      <c r="B3" s="834">
        <f ca="1">IF(ISERROR(B2*10000/F43),0,ROUND(B2*10000/F43,0))</f>
        <v>35366</v>
      </c>
      <c r="C3" s="2058"/>
      <c r="D3" s="2056"/>
      <c r="E3" s="2057"/>
      <c r="F3" s="2057"/>
      <c r="G3" s="1590"/>
      <c r="H3" s="776" t="s">
        <v>695</v>
      </c>
      <c r="I3" s="1363"/>
      <c r="J3" s="1363"/>
      <c r="K3" s="1591"/>
      <c r="L3" s="1363"/>
      <c r="M3" s="1363"/>
    </row>
    <row r="4" spans="1:33" ht="18" customHeight="1">
      <c r="A4" s="777" t="s">
        <v>630</v>
      </c>
      <c r="B4" s="778" t="s">
        <v>631</v>
      </c>
      <c r="C4" s="778" t="s">
        <v>1730</v>
      </c>
      <c r="D4" s="778" t="s">
        <v>633</v>
      </c>
      <c r="E4" s="779" t="s">
        <v>1731</v>
      </c>
      <c r="F4" s="780"/>
      <c r="G4" s="1592"/>
      <c r="H4" s="777" t="s">
        <v>1732</v>
      </c>
      <c r="I4" s="778" t="s">
        <v>631</v>
      </c>
      <c r="J4" s="778" t="s">
        <v>1734</v>
      </c>
      <c r="K4" s="778" t="s">
        <v>1735</v>
      </c>
      <c r="L4" s="779" t="s">
        <v>634</v>
      </c>
      <c r="M4" s="780"/>
    </row>
    <row r="5" spans="1:33" ht="18" customHeight="1">
      <c r="A5" s="781">
        <v>1</v>
      </c>
      <c r="B5" s="782" t="s">
        <v>2458</v>
      </c>
      <c r="C5" s="55">
        <f ca="1">C6+C10+C12</f>
        <v>1235</v>
      </c>
      <c r="D5" s="2497" t="s">
        <v>2461</v>
      </c>
      <c r="E5" s="2491"/>
      <c r="F5" s="2492"/>
      <c r="G5" s="1592"/>
      <c r="H5" s="781">
        <v>1</v>
      </c>
      <c r="I5" s="782" t="s">
        <v>2458</v>
      </c>
      <c r="J5" s="55">
        <f ca="1">J6+J10+J12</f>
        <v>0</v>
      </c>
      <c r="K5" s="2497" t="s">
        <v>2461</v>
      </c>
      <c r="L5" s="2491"/>
      <c r="M5" s="2492"/>
    </row>
    <row r="6" spans="1:33" ht="18" customHeight="1">
      <c r="A6" s="1831" t="s">
        <v>1824</v>
      </c>
      <c r="B6" s="3450" t="s">
        <v>2463</v>
      </c>
      <c r="C6" s="783">
        <f ca="1">ROUND(F6*F8*F7*(1-F9)/10000,0)</f>
        <v>1233</v>
      </c>
      <c r="D6" s="2498" t="s">
        <v>2462</v>
      </c>
      <c r="E6" s="784" t="s">
        <v>1738</v>
      </c>
      <c r="F6" s="785">
        <f ca="1">INDIRECT("'数据-取费表'!u"&amp;$G$1)</f>
        <v>6</v>
      </c>
      <c r="G6" s="1592"/>
      <c r="H6" s="2505" t="s">
        <v>1824</v>
      </c>
      <c r="I6" s="3450" t="s">
        <v>2463</v>
      </c>
      <c r="J6" s="783">
        <f ca="1">ROUND(M6*M8*M7*(1-M9)/10000,0)</f>
        <v>0</v>
      </c>
      <c r="K6" s="341" t="s">
        <v>636</v>
      </c>
      <c r="L6" s="784" t="s">
        <v>1738</v>
      </c>
      <c r="M6" s="785">
        <f ca="1">INDIRECT("'数据-取费表'!z"&amp;$G$1)</f>
        <v>0</v>
      </c>
    </row>
    <row r="7" spans="1:33" ht="18" customHeight="1">
      <c r="A7" s="2501"/>
      <c r="B7" s="3451"/>
      <c r="C7" s="788"/>
      <c r="D7" s="789"/>
      <c r="E7" s="784" t="s">
        <v>638</v>
      </c>
      <c r="F7" s="785">
        <f ca="1">IF(INDIRECT("'数据-取费表'!ah"&amp;$G$1)="",INDIRECT("'数据-取费表'!k"&amp;$G$1),INDIRECT("'数据-取费表'!ah"&amp;$G$1))</f>
        <v>6256</v>
      </c>
      <c r="G7" s="1592"/>
      <c r="H7" s="2490"/>
      <c r="I7" s="3451"/>
      <c r="J7" s="788"/>
      <c r="K7" s="789"/>
      <c r="L7" s="784" t="s">
        <v>638</v>
      </c>
      <c r="M7" s="785">
        <f ca="1">F7</f>
        <v>6256</v>
      </c>
    </row>
    <row r="8" spans="1:33" ht="18" customHeight="1">
      <c r="A8" s="2494"/>
      <c r="B8" s="3452"/>
      <c r="C8" s="788"/>
      <c r="D8" s="789"/>
      <c r="E8" s="784" t="s">
        <v>639</v>
      </c>
      <c r="F8" s="785">
        <f ca="1">INDIRECT("'数据-取费表'!ai"&amp;$G$1)</f>
        <v>365</v>
      </c>
      <c r="G8" s="1592"/>
      <c r="H8" s="2490"/>
      <c r="I8" s="3452"/>
      <c r="J8" s="788"/>
      <c r="K8" s="789"/>
      <c r="L8" s="784" t="s">
        <v>639</v>
      </c>
      <c r="M8" s="785">
        <f ca="1">INDIRECT("'数据-取费表'!ai"&amp;$G$1)</f>
        <v>365</v>
      </c>
    </row>
    <row r="9" spans="1:33" ht="18" customHeight="1">
      <c r="A9" s="786"/>
      <c r="B9" s="3453"/>
      <c r="C9" s="788"/>
      <c r="D9" s="789"/>
      <c r="E9" s="784" t="s">
        <v>640</v>
      </c>
      <c r="F9" s="794">
        <f ca="1">INDIRECT("'数据-取费表'!w"&amp;$G$1)</f>
        <v>0.1</v>
      </c>
      <c r="G9" s="1592"/>
      <c r="H9" s="2506"/>
      <c r="I9" s="3452"/>
      <c r="J9" s="788"/>
      <c r="K9" s="789"/>
      <c r="L9" s="795" t="s">
        <v>640</v>
      </c>
      <c r="M9" s="796">
        <f ca="1">INDIRECT("'数据-取费表'!ab"&amp;$G$1)</f>
        <v>0</v>
      </c>
    </row>
    <row r="10" spans="1:33" ht="18" customHeight="1">
      <c r="A10" s="1831" t="s">
        <v>1834</v>
      </c>
      <c r="B10" s="2495" t="s">
        <v>2459</v>
      </c>
      <c r="C10" s="799">
        <f ca="1">ROUND(IF(F10="押一",C6/12*F11,IF(F10="押二",C6/12*2*F11,IF(F10="押三",C6/12*3*F11,C11*F11))),0)</f>
        <v>2</v>
      </c>
      <c r="D10" s="2502" t="s">
        <v>2968</v>
      </c>
      <c r="E10" s="2499" t="s">
        <v>2464</v>
      </c>
      <c r="F10" s="2622" t="s">
        <v>3416</v>
      </c>
      <c r="G10" s="1592"/>
      <c r="H10" s="2562" t="s">
        <v>1834</v>
      </c>
      <c r="I10" s="2567" t="s">
        <v>2459</v>
      </c>
      <c r="J10" s="783">
        <f ca="1">ROUND(IF(M10="押一",J6/12*M11,IF(M10="押二",J6/12*2*M11,IF(M10="押三",J6/12*3*M11,J11*M11))),0)</f>
        <v>0</v>
      </c>
      <c r="K10" s="2502" t="s">
        <v>2968</v>
      </c>
      <c r="L10" s="2499" t="s">
        <v>2464</v>
      </c>
      <c r="M10" s="2622"/>
    </row>
    <row r="11" spans="1:33" ht="18" customHeight="1">
      <c r="A11" s="790"/>
      <c r="B11" s="2496" t="s">
        <v>2573</v>
      </c>
      <c r="C11" s="2500"/>
      <c r="D11" s="789"/>
      <c r="E11" s="2499" t="s">
        <v>2456</v>
      </c>
      <c r="F11" s="796">
        <f ca="1">'数据-取费表'!B39</f>
        <v>1.4999999999999999E-2</v>
      </c>
      <c r="G11" s="1592"/>
      <c r="H11" s="2563"/>
      <c r="I11" s="2496" t="s">
        <v>2573</v>
      </c>
      <c r="J11" s="2500"/>
      <c r="K11" s="2564"/>
      <c r="L11" s="2499" t="s">
        <v>2456</v>
      </c>
      <c r="M11" s="2493">
        <f ca="1">'数据-取费表'!B39</f>
        <v>1.4999999999999999E-2</v>
      </c>
    </row>
    <row r="12" spans="1:33" ht="18" customHeight="1" thickBot="1">
      <c r="A12" s="2538" t="s">
        <v>2467</v>
      </c>
      <c r="B12" s="2539" t="s">
        <v>2460</v>
      </c>
      <c r="C12" s="2540"/>
      <c r="D12" s="2541"/>
      <c r="E12" s="2542"/>
      <c r="F12" s="2543"/>
      <c r="G12" s="1592"/>
      <c r="H12" s="2552" t="s">
        <v>2467</v>
      </c>
      <c r="I12" s="2565" t="s">
        <v>2460</v>
      </c>
      <c r="J12" s="2566"/>
      <c r="K12" s="2541"/>
      <c r="L12" s="2542"/>
      <c r="M12" s="2555"/>
    </row>
    <row r="13" spans="1:33" ht="18" customHeight="1" thickTop="1">
      <c r="A13" s="1830">
        <v>2</v>
      </c>
      <c r="B13" s="1828" t="s">
        <v>644</v>
      </c>
      <c r="C13" s="792">
        <f ca="1">ROUND(C29*F13,0)</f>
        <v>3537</v>
      </c>
      <c r="D13" s="1835" t="s">
        <v>2298</v>
      </c>
      <c r="E13" s="1835" t="s">
        <v>643</v>
      </c>
      <c r="F13" s="2537">
        <f ca="1">INDIRECT("'数据-取费表'!y"&amp;$G$1)</f>
        <v>1</v>
      </c>
      <c r="G13" s="1592"/>
      <c r="H13" s="1830">
        <v>2</v>
      </c>
      <c r="I13" s="1828" t="s">
        <v>644</v>
      </c>
      <c r="J13" s="1820">
        <f ca="1">ROUND(J14*J15,0)</f>
        <v>0</v>
      </c>
      <c r="K13" s="1822" t="s">
        <v>642</v>
      </c>
      <c r="L13" s="2553"/>
      <c r="M13" s="2554"/>
    </row>
    <row r="14" spans="1:33" ht="18" customHeight="1">
      <c r="A14" s="1648" t="s">
        <v>1831</v>
      </c>
      <c r="B14" s="784" t="s">
        <v>645</v>
      </c>
      <c r="C14" s="804">
        <f ca="1">INDIRECT("'数据-取费表'!m"&amp;$G$1)+INDIRECT("'数据-取费表'!t"&amp;$G$1)</f>
        <v>2420</v>
      </c>
      <c r="D14" s="3181" t="s">
        <v>1745</v>
      </c>
      <c r="E14" s="3182"/>
      <c r="F14" s="805"/>
      <c r="G14" s="1592"/>
      <c r="H14" s="1649" t="s">
        <v>1824</v>
      </c>
      <c r="I14" s="2232" t="s">
        <v>2824</v>
      </c>
      <c r="J14" s="53">
        <f ca="1">C29</f>
        <v>3537</v>
      </c>
      <c r="K14" s="26"/>
      <c r="L14" s="801"/>
      <c r="M14" s="802"/>
    </row>
    <row r="15" spans="1:33" s="2065" customFormat="1" ht="18" customHeight="1" thickBot="1">
      <c r="A15" s="1648" t="s">
        <v>1832</v>
      </c>
      <c r="B15" s="784" t="s">
        <v>647</v>
      </c>
      <c r="C15" s="53">
        <f ca="1">ROUND(C14*F15,0)</f>
        <v>73</v>
      </c>
      <c r="D15" s="806" t="s">
        <v>648</v>
      </c>
      <c r="E15" s="806" t="s">
        <v>1747</v>
      </c>
      <c r="F15" s="807">
        <f>'数据-取费表'!B33</f>
        <v>0.03</v>
      </c>
      <c r="G15" s="1593"/>
      <c r="H15" s="2552" t="s">
        <v>1889</v>
      </c>
      <c r="I15" s="2547" t="s">
        <v>643</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1886</v>
      </c>
      <c r="B16" s="784" t="s">
        <v>650</v>
      </c>
      <c r="C16" s="53">
        <f ca="1">ROUND(INDIRECT("'数据-取费表'!m"&amp;$G$1)*F16,0)</f>
        <v>0</v>
      </c>
      <c r="D16" s="784" t="s">
        <v>648</v>
      </c>
      <c r="E16" s="784" t="s">
        <v>1747</v>
      </c>
      <c r="F16" s="809">
        <f ca="1">IF(INDIRECT("'数据-取费表'!c"&amp;$G$1)="住宅",'数据-取费表'!B34,0)</f>
        <v>0</v>
      </c>
      <c r="G16" s="1592"/>
      <c r="H16" s="1830" t="s">
        <v>1748</v>
      </c>
      <c r="I16" s="1828" t="s">
        <v>1749</v>
      </c>
      <c r="J16" s="792">
        <f ca="1">ROUND(J17+J22+J23+J24,0)</f>
        <v>353</v>
      </c>
      <c r="K16" s="1822" t="s">
        <v>1750</v>
      </c>
      <c r="L16" s="3183"/>
      <c r="M16" s="2492"/>
    </row>
    <row r="17" spans="1:33" s="2065" customFormat="1" ht="18" customHeight="1">
      <c r="A17" s="1648" t="s">
        <v>1887</v>
      </c>
      <c r="B17" s="784" t="s">
        <v>653</v>
      </c>
      <c r="C17" s="53">
        <f ca="1">ROUND(F17*(F43+INDIRECT("'数据-取费表'!S"&amp;$G$1))/10000,0)</f>
        <v>144</v>
      </c>
      <c r="D17" s="784" t="s">
        <v>654</v>
      </c>
      <c r="E17" s="784" t="s">
        <v>1752</v>
      </c>
      <c r="F17" s="56">
        <f>'数据-取费表'!B35</f>
        <v>200</v>
      </c>
      <c r="G17" s="1593"/>
      <c r="H17" s="1649" t="s">
        <v>1824</v>
      </c>
      <c r="I17" s="784" t="s">
        <v>656</v>
      </c>
      <c r="J17" s="53">
        <f ca="1">ROUND(IF(项目基本情况!B11="自然人",J5*M17,J18+J19+J20),0)</f>
        <v>300</v>
      </c>
      <c r="K17" s="3181" t="s">
        <v>657</v>
      </c>
      <c r="L17" s="3180" t="s">
        <v>658</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659</v>
      </c>
      <c r="C18" s="53">
        <f ca="1">ROUND(C14*F18,0)</f>
        <v>36</v>
      </c>
      <c r="D18" s="784" t="s">
        <v>648</v>
      </c>
      <c r="E18" s="784" t="s">
        <v>1747</v>
      </c>
      <c r="F18" s="809">
        <f>'数据-取费表'!B36</f>
        <v>1.4999999999999999E-2</v>
      </c>
      <c r="G18" s="1593"/>
      <c r="H18" s="1648" t="s">
        <v>1831</v>
      </c>
      <c r="I18" s="784" t="s">
        <v>1755</v>
      </c>
      <c r="J18" s="53">
        <f ca="1">ROUND(J5*M18/1.05,1)</f>
        <v>0</v>
      </c>
      <c r="K18" s="3180" t="s">
        <v>661</v>
      </c>
      <c r="L18" s="784" t="s">
        <v>1747</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662</v>
      </c>
      <c r="C19" s="53">
        <f ca="1">SUM(C14:C18)</f>
        <v>2673</v>
      </c>
      <c r="D19" s="261" t="s">
        <v>1757</v>
      </c>
      <c r="E19" s="3186"/>
      <c r="F19" s="56"/>
      <c r="G19" s="1592"/>
      <c r="H19" s="1648" t="s">
        <v>1832</v>
      </c>
      <c r="I19" s="784" t="s">
        <v>664</v>
      </c>
      <c r="J19" s="53">
        <f ca="1">IF(K19="按租金收入计税",ROUND(J5*M19,1),ROUND(C29*F33*0.7,1))</f>
        <v>297.10000000000002</v>
      </c>
      <c r="K19" s="811" t="s">
        <v>665</v>
      </c>
      <c r="L19" s="784" t="s">
        <v>1747</v>
      </c>
      <c r="M19" s="809">
        <f>IF(K19="按租金收入计税",'数据-取费表'!B51,'数据-取费表'!B50)</f>
        <v>1.2E-2</v>
      </c>
    </row>
    <row r="20" spans="1:33" s="2065" customFormat="1" ht="18" customHeight="1">
      <c r="A20" s="1649" t="s">
        <v>1889</v>
      </c>
      <c r="B20" s="784" t="s">
        <v>666</v>
      </c>
      <c r="C20" s="53">
        <f ca="1">ROUND(C19*F20,0)</f>
        <v>53</v>
      </c>
      <c r="D20" s="812" t="s">
        <v>667</v>
      </c>
      <c r="E20" s="784" t="s">
        <v>1747</v>
      </c>
      <c r="F20" s="809">
        <f>'数据-取费表'!B37</f>
        <v>0.02</v>
      </c>
      <c r="G20" s="1593"/>
      <c r="H20" s="1651" t="s">
        <v>1880</v>
      </c>
      <c r="I20" s="341" t="s">
        <v>1760</v>
      </c>
      <c r="J20" s="54">
        <f ca="1">ROUND(M20*M21/10000,0)</f>
        <v>3</v>
      </c>
      <c r="K20" s="814" t="s">
        <v>669</v>
      </c>
      <c r="L20" s="784" t="s">
        <v>1762</v>
      </c>
      <c r="M20" s="640">
        <f>'数据-取费表'!B52</f>
        <v>12</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671</v>
      </c>
      <c r="C21" s="53" t="s">
        <v>1764</v>
      </c>
      <c r="D21" s="812" t="s">
        <v>2299</v>
      </c>
      <c r="E21" s="784" t="s">
        <v>673</v>
      </c>
      <c r="F21" s="809">
        <f>'数据-取费表'!B38</f>
        <v>0.02</v>
      </c>
      <c r="G21" s="1593"/>
      <c r="H21" s="2507"/>
      <c r="I21" s="793"/>
      <c r="J21" s="69"/>
      <c r="K21" s="816"/>
      <c r="L21" s="784" t="s">
        <v>1766</v>
      </c>
      <c r="M21" s="785">
        <f ca="1">INDIRECT("'数据-取费表'!r"&amp;$G$1)</f>
        <v>2847.4900000000002</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73" t="str">
        <f>IF(F23&lt;=1,"单利计息。","复利计息。")&amp;"建造成本、管理费用、销售费用产生的利息。"</f>
        <v>复利计息。建造成本、管理费用、销售费用产生的利息。</v>
      </c>
      <c r="E22" s="3186"/>
      <c r="F22" s="56"/>
      <c r="G22" s="1592"/>
      <c r="H22" s="1649" t="s">
        <v>1889</v>
      </c>
      <c r="I22" s="784" t="s">
        <v>1768</v>
      </c>
      <c r="J22" s="53">
        <f ca="1">ROUND(J14*M22,0)</f>
        <v>53</v>
      </c>
      <c r="K22" s="3180" t="s">
        <v>1769</v>
      </c>
      <c r="L22" s="784" t="s">
        <v>1747</v>
      </c>
      <c r="M22" s="817">
        <f ca="1">INDIRECT("'数据-取费表'!Ak"&amp;$G$1)</f>
        <v>1.4999999999999999E-2</v>
      </c>
    </row>
    <row r="23" spans="1:33" s="2065" customFormat="1" ht="18" customHeight="1">
      <c r="A23" s="1648" t="s">
        <v>1831</v>
      </c>
      <c r="B23" s="784" t="s">
        <v>2535</v>
      </c>
      <c r="C23" s="53">
        <f ca="1">ROUND(IF('数据-取费表'!B22&lt;=1,(C19+C20)*F24*F23/2,(C19+C20)*(POWER((1+F24),F23/2)-1)),0)</f>
        <v>129</v>
      </c>
      <c r="D23" s="2572" t="str">
        <f>IF(F23&lt;=1,"(建造成本+管理费用)×利率×(建设周期÷2)","(建造成本+管理费用)×((1+利率)^(建设周期÷2)-1)")</f>
        <v>(建造成本+管理费用)×((1+利率)^(建设周期÷2)-1)</v>
      </c>
      <c r="E23" s="784" t="s">
        <v>678</v>
      </c>
      <c r="F23" s="640">
        <f>'数据-取费表'!B20</f>
        <v>2</v>
      </c>
      <c r="G23" s="1593"/>
      <c r="H23" s="1649" t="s">
        <v>1890</v>
      </c>
      <c r="I23" s="784" t="s">
        <v>679</v>
      </c>
      <c r="J23" s="53">
        <f ca="1">ROUND(J13*M23,0)</f>
        <v>0</v>
      </c>
      <c r="K23" s="3180" t="s">
        <v>680</v>
      </c>
      <c r="L23" s="784" t="s">
        <v>1747</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1E-3</v>
      </c>
      <c r="D24" s="2572" t="str">
        <f>IF(F23&lt;=1,"销售费用×利率×(建设周期÷2)","销售费用×((1+利率)^(建设周期÷2)-1)")</f>
        <v>销售费用×((1+利率)^(建设周期÷2)-1)</v>
      </c>
      <c r="E24" s="784" t="s">
        <v>682</v>
      </c>
      <c r="F24" s="819">
        <f ca="1">'数据-取费表'!B40</f>
        <v>4.7500000000000001E-2</v>
      </c>
      <c r="G24" s="1593"/>
      <c r="H24" s="2552" t="s">
        <v>1891</v>
      </c>
      <c r="I24" s="2547" t="s">
        <v>666</v>
      </c>
      <c r="J24" s="2545">
        <f ca="1">ROUND(J5*M24,0)</f>
        <v>0</v>
      </c>
      <c r="K24" s="2546" t="s">
        <v>683</v>
      </c>
      <c r="L24" s="2547" t="s">
        <v>1747</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684</v>
      </c>
      <c r="C25" s="53"/>
      <c r="D25" s="261" t="s">
        <v>685</v>
      </c>
      <c r="E25" s="3186"/>
      <c r="F25" s="56"/>
      <c r="G25" s="1592"/>
      <c r="H25" s="1830" t="s">
        <v>1776</v>
      </c>
      <c r="I25" s="3011" t="s">
        <v>2821</v>
      </c>
      <c r="J25" s="792">
        <f ca="1">J5-J16</f>
        <v>-353</v>
      </c>
      <c r="K25" s="2549" t="s">
        <v>700</v>
      </c>
      <c r="L25" s="2550"/>
      <c r="M25" s="2551"/>
    </row>
    <row r="26" spans="1:33" ht="18" customHeight="1">
      <c r="A26" s="1648" t="s">
        <v>1831</v>
      </c>
      <c r="B26" s="784" t="s">
        <v>2438</v>
      </c>
      <c r="C26" s="53">
        <f ca="1">ROUND((C19+C20)*F26,0)</f>
        <v>409</v>
      </c>
      <c r="D26" s="812" t="s">
        <v>701</v>
      </c>
      <c r="E26" s="795" t="s">
        <v>702</v>
      </c>
      <c r="F26" s="794">
        <f ca="1">INDIRECT("'数据-取费表'!q"&amp;$G$1)</f>
        <v>0.15</v>
      </c>
      <c r="G26" s="1592"/>
      <c r="H26" s="2503" t="s">
        <v>1780</v>
      </c>
      <c r="I26" s="2233" t="s">
        <v>2826</v>
      </c>
      <c r="J26" s="783">
        <f ca="1">IF(J5&lt;&gt;0,ROUND(J25*(1-((1+M28)/(1+M26))^M27)/(M26-M28),0),0)</f>
        <v>0</v>
      </c>
      <c r="K26" s="814" t="s">
        <v>1781</v>
      </c>
      <c r="L26" s="784" t="s">
        <v>2419</v>
      </c>
      <c r="M26" s="794">
        <f ca="1">INDIRECT("'数据-取费表'!I"&amp;$G$1)</f>
        <v>5.5E-2</v>
      </c>
    </row>
    <row r="27" spans="1:33" ht="18" customHeight="1">
      <c r="A27" s="1648" t="s">
        <v>1832</v>
      </c>
      <c r="B27" s="784" t="s">
        <v>686</v>
      </c>
      <c r="C27" s="53">
        <f ca="1">ROUND(F21*F26,4)</f>
        <v>3.0000000000000001E-3</v>
      </c>
      <c r="D27" s="812" t="s">
        <v>706</v>
      </c>
      <c r="E27" s="806"/>
      <c r="F27" s="807"/>
      <c r="G27" s="1592"/>
      <c r="H27" s="2504"/>
      <c r="I27" s="787"/>
      <c r="J27" s="788"/>
      <c r="K27" s="821" t="s">
        <v>707</v>
      </c>
      <c r="L27" s="784" t="s">
        <v>708</v>
      </c>
      <c r="M27" s="822">
        <f ca="1">INDIRECT("'数据-取费表'!ag"&amp;$G$1)</f>
        <v>0</v>
      </c>
    </row>
    <row r="28" spans="1:33" s="2065" customFormat="1" ht="18" customHeight="1">
      <c r="A28" s="1650" t="s">
        <v>1841</v>
      </c>
      <c r="B28" s="784" t="s">
        <v>687</v>
      </c>
      <c r="C28" s="53">
        <f>ROUND(F28/(1+'数据-取费表'!C42),4)</f>
        <v>5.33E-2</v>
      </c>
      <c r="D28" s="812" t="s">
        <v>2300</v>
      </c>
      <c r="E28" s="784" t="s">
        <v>649</v>
      </c>
      <c r="F28" s="809">
        <f>'数据-取费表'!B41</f>
        <v>5.6000000000000001E-2</v>
      </c>
      <c r="G28" s="1593"/>
      <c r="H28" s="1830"/>
      <c r="I28" s="791"/>
      <c r="J28" s="792"/>
      <c r="K28" s="816"/>
      <c r="L28" s="784" t="s">
        <v>1786</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1892</v>
      </c>
      <c r="B29" s="2542" t="s">
        <v>2301</v>
      </c>
      <c r="C29" s="2545">
        <f ca="1">ROUND((C19+C20+C23+C26)/(1-F21-C24-C27-C28),0)</f>
        <v>3537</v>
      </c>
      <c r="D29" s="2546"/>
      <c r="E29" s="2547"/>
      <c r="F29" s="2548"/>
      <c r="G29" s="1593"/>
      <c r="H29" s="823" t="s">
        <v>1787</v>
      </c>
      <c r="I29" s="824" t="s">
        <v>1788</v>
      </c>
      <c r="J29" s="825">
        <f ca="1">ROUND(J26/(1+F40)^F41,0)</f>
        <v>0</v>
      </c>
      <c r="K29" s="826" t="s">
        <v>688</v>
      </c>
      <c r="L29" s="827"/>
      <c r="M29" s="828">
        <f ca="1">INDIRECT("'数据-取费表'!k"&amp;$G$1)</f>
        <v>6256</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1748</v>
      </c>
      <c r="B30" s="1828" t="s">
        <v>1749</v>
      </c>
      <c r="C30" s="792">
        <f ca="1">ROUND(C31+C36+C37+C38,0)</f>
        <v>288</v>
      </c>
      <c r="D30" s="1822" t="s">
        <v>1791</v>
      </c>
      <c r="E30" s="3183"/>
      <c r="F30" s="2492"/>
      <c r="G30" s="2063"/>
      <c r="H30" s="2066"/>
      <c r="I30" s="2067"/>
      <c r="J30" s="2068"/>
      <c r="K30" s="2069"/>
      <c r="L30" s="2070"/>
      <c r="M30" s="2071"/>
    </row>
    <row r="31" spans="1:33" ht="18" customHeight="1">
      <c r="A31" s="1649" t="s">
        <v>1824</v>
      </c>
      <c r="B31" s="784" t="s">
        <v>656</v>
      </c>
      <c r="C31" s="53">
        <f ca="1">ROUND(IF(项目基本情况!B11="自然人",C5*F31,C32+C33+C34),1)</f>
        <v>217.5</v>
      </c>
      <c r="D31" s="3181" t="s">
        <v>657</v>
      </c>
      <c r="E31" s="3180" t="s">
        <v>690</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1831</v>
      </c>
      <c r="B32" s="784" t="s">
        <v>1755</v>
      </c>
      <c r="C32" s="53">
        <f ca="1">ROUND(C5*F32/1.05,1)</f>
        <v>65.900000000000006</v>
      </c>
      <c r="D32" s="3180" t="s">
        <v>1795</v>
      </c>
      <c r="E32" s="784" t="s">
        <v>649</v>
      </c>
      <c r="F32" s="809">
        <f>'数据-取费表'!B41</f>
        <v>5.6000000000000001E-2</v>
      </c>
      <c r="G32" s="2063"/>
      <c r="H32" s="2072"/>
      <c r="I32" s="2073"/>
      <c r="J32" s="2074"/>
      <c r="K32" s="2075"/>
      <c r="L32" s="2076"/>
      <c r="M32" s="2077"/>
    </row>
    <row r="33" spans="1:18" ht="18" customHeight="1">
      <c r="A33" s="1648" t="s">
        <v>1832</v>
      </c>
      <c r="B33" s="784" t="s">
        <v>1797</v>
      </c>
      <c r="C33" s="53">
        <f ca="1">IF(D33="按租金收入计税",ROUND(C5*F33,1),IF(D33="按房产原值计税",ROUND(C29*F33*0.7,1),INDIRECT("'数据-取费表'!Aj"&amp;$G$1)))</f>
        <v>148.19999999999999</v>
      </c>
      <c r="D33" s="811" t="s">
        <v>3417</v>
      </c>
      <c r="E33" s="784" t="s">
        <v>649</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3.4</v>
      </c>
      <c r="D34" s="814" t="s">
        <v>1799</v>
      </c>
      <c r="E34" s="784" t="s">
        <v>1800</v>
      </c>
      <c r="F34" s="640">
        <f>'数据-取费表'!B52</f>
        <v>12</v>
      </c>
      <c r="G34" s="2063"/>
      <c r="H34" s="2066"/>
      <c r="I34" s="835" t="s">
        <v>1813</v>
      </c>
      <c r="J34" s="836"/>
      <c r="K34" s="2081"/>
      <c r="L34" s="2080"/>
      <c r="M34" s="2080"/>
    </row>
    <row r="35" spans="1:18" ht="18" customHeight="1">
      <c r="A35" s="815"/>
      <c r="B35" s="793"/>
      <c r="C35" s="69"/>
      <c r="D35" s="816"/>
      <c r="E35" s="784" t="s">
        <v>1766</v>
      </c>
      <c r="F35" s="785">
        <f ca="1">INDIRECT("'数据-取费表'!r"&amp;$G$1)</f>
        <v>2847.4900000000002</v>
      </c>
      <c r="G35" s="2063"/>
      <c r="H35" s="2066"/>
      <c r="I35" s="837" t="s">
        <v>1814</v>
      </c>
      <c r="J35" s="838">
        <f ca="1">ROUND(C13*J36,0)</f>
        <v>0</v>
      </c>
      <c r="K35" s="2079"/>
      <c r="L35" s="2078"/>
      <c r="M35" s="2078"/>
    </row>
    <row r="36" spans="1:18" ht="18" customHeight="1">
      <c r="A36" s="1649" t="s">
        <v>1889</v>
      </c>
      <c r="B36" s="784" t="s">
        <v>1802</v>
      </c>
      <c r="C36" s="53">
        <f ca="1">ROUND(C29*F36,1)</f>
        <v>53.1</v>
      </c>
      <c r="D36" s="3180" t="s">
        <v>691</v>
      </c>
      <c r="E36" s="784" t="s">
        <v>649</v>
      </c>
      <c r="F36" s="817">
        <f ca="1">INDIRECT("'数据-取费表'!Ak"&amp;$G$1)</f>
        <v>1.4999999999999999E-2</v>
      </c>
      <c r="G36" s="2063"/>
      <c r="H36" s="2078"/>
      <c r="I36" s="839" t="s">
        <v>1815</v>
      </c>
      <c r="J36" s="840">
        <f ca="1">INDIRECT("'数据-取费表'!j"&amp;$G$1)</f>
        <v>0</v>
      </c>
      <c r="K36" s="2083"/>
      <c r="L36" s="2078"/>
      <c r="M36" s="2078"/>
    </row>
    <row r="37" spans="1:18" ht="18" customHeight="1">
      <c r="A37" s="1649" t="s">
        <v>1890</v>
      </c>
      <c r="B37" s="784" t="s">
        <v>679</v>
      </c>
      <c r="C37" s="53">
        <f ca="1">ROUND(C13*F37,1)</f>
        <v>5.3</v>
      </c>
      <c r="D37" s="3180" t="s">
        <v>680</v>
      </c>
      <c r="E37" s="784" t="s">
        <v>649</v>
      </c>
      <c r="F37" s="818">
        <f ca="1">INDIRECT("'数据-取费表'!Al"&amp;$G$1)</f>
        <v>1.5E-3</v>
      </c>
      <c r="G37" s="2063"/>
      <c r="H37" s="2078"/>
      <c r="I37" s="841" t="s">
        <v>1816</v>
      </c>
      <c r="J37" s="842"/>
      <c r="K37" s="2083"/>
      <c r="L37" s="2078"/>
      <c r="M37" s="2078"/>
    </row>
    <row r="38" spans="1:18" ht="18" customHeight="1" thickBot="1">
      <c r="A38" s="2552" t="s">
        <v>1891</v>
      </c>
      <c r="B38" s="2547" t="s">
        <v>666</v>
      </c>
      <c r="C38" s="2545">
        <f ca="1">ROUND(C5*F38,1)</f>
        <v>12.4</v>
      </c>
      <c r="D38" s="2546" t="s">
        <v>683</v>
      </c>
      <c r="E38" s="2547" t="s">
        <v>649</v>
      </c>
      <c r="F38" s="2543">
        <f ca="1">INDIRECT("'数据-取费表'!Am"&amp;$G$1)</f>
        <v>0.01</v>
      </c>
      <c r="G38" s="2063"/>
      <c r="H38" s="2078"/>
      <c r="I38" s="843" t="s">
        <v>1817</v>
      </c>
      <c r="J38" s="844"/>
      <c r="K38" s="2084"/>
      <c r="L38" s="2078"/>
      <c r="M38" s="2078"/>
    </row>
    <row r="39" spans="1:18" ht="24.6" customHeight="1" thickTop="1">
      <c r="A39" s="1830" t="s">
        <v>1894</v>
      </c>
      <c r="B39" s="3011" t="s">
        <v>2821</v>
      </c>
      <c r="C39" s="792">
        <f ca="1">C5-C30</f>
        <v>947</v>
      </c>
      <c r="D39" s="2549" t="s">
        <v>1806</v>
      </c>
      <c r="E39" s="2550"/>
      <c r="F39" s="2551"/>
      <c r="G39" s="2063"/>
      <c r="H39" s="2078"/>
      <c r="I39" s="837" t="s">
        <v>1818</v>
      </c>
      <c r="J39" s="845">
        <f ca="1">ROUND(J35/C39,3)</f>
        <v>0</v>
      </c>
      <c r="K39" s="2084"/>
      <c r="L39" s="2078"/>
      <c r="M39" s="2078"/>
    </row>
    <row r="40" spans="1:18" ht="18" customHeight="1">
      <c r="A40" s="781" t="s">
        <v>1780</v>
      </c>
      <c r="B40" s="2233" t="s">
        <v>2302</v>
      </c>
      <c r="C40" s="783">
        <f ca="1">ROUND(C39*(1-((1+F42)/(1+F40))^F41)/(F40-F42),0)</f>
        <v>22125</v>
      </c>
      <c r="D40" s="814" t="s">
        <v>704</v>
      </c>
      <c r="E40" s="784" t="s">
        <v>2419</v>
      </c>
      <c r="F40" s="794">
        <f ca="1">INDIRECT("'数据-取费表'!I"&amp;$G$1)</f>
        <v>5.5E-2</v>
      </c>
      <c r="G40" s="2063"/>
      <c r="H40" s="2063"/>
      <c r="I40" s="837" t="s">
        <v>1819</v>
      </c>
      <c r="J40" s="845">
        <f ca="1">1-J39</f>
        <v>1</v>
      </c>
      <c r="K40" s="2084"/>
      <c r="L40" s="2063"/>
      <c r="M40" s="2063"/>
    </row>
    <row r="41" spans="1:18" ht="18" customHeight="1">
      <c r="A41" s="786"/>
      <c r="B41" s="787"/>
      <c r="C41" s="788"/>
      <c r="D41" s="821" t="s">
        <v>1808</v>
      </c>
      <c r="E41" s="784" t="s">
        <v>2958</v>
      </c>
      <c r="F41" s="822">
        <f ca="1">IF(INDIRECT("'数据-取费表'!af"&amp;$G$1)=0,INDIRECT("'数据-取费表'!ae"&amp;$G$1),INDIRECT("'数据-取费表'!af"&amp;$G$1))</f>
        <v>36.58</v>
      </c>
      <c r="G41" s="2063"/>
      <c r="H41" s="1989"/>
      <c r="I41" s="843" t="s">
        <v>1820</v>
      </c>
      <c r="J41" s="846"/>
      <c r="K41" s="2083"/>
      <c r="L41" s="1989"/>
      <c r="M41" s="1989"/>
    </row>
    <row r="42" spans="1:18" ht="18" customHeight="1">
      <c r="A42" s="790"/>
      <c r="B42" s="791"/>
      <c r="C42" s="792"/>
      <c r="D42" s="816"/>
      <c r="E42" s="784" t="s">
        <v>1809</v>
      </c>
      <c r="F42" s="794">
        <f ca="1">INDIRECT("'数据-取费表'!v"&amp;$G$1)</f>
        <v>0.03</v>
      </c>
      <c r="G42" s="2063"/>
      <c r="H42" s="1989"/>
      <c r="I42" s="847" t="s">
        <v>1821</v>
      </c>
      <c r="J42" s="845">
        <f ca="1">ROUND(C13/C40,3)</f>
        <v>0.16</v>
      </c>
      <c r="K42" s="2083"/>
      <c r="L42" s="1989"/>
      <c r="M42" s="1989"/>
    </row>
    <row r="43" spans="1:18" ht="18" customHeight="1" thickBot="1">
      <c r="A43" s="823" t="s">
        <v>1787</v>
      </c>
      <c r="B43" s="824" t="s">
        <v>1810</v>
      </c>
      <c r="C43" s="825">
        <f ca="1">ROUND(C40*10000/F43,0)</f>
        <v>35366</v>
      </c>
      <c r="D43" s="826" t="s">
        <v>1811</v>
      </c>
      <c r="E43" s="827" t="s">
        <v>1812</v>
      </c>
      <c r="F43" s="828">
        <f ca="1">INDIRECT("'数据-取费表'!k"&amp;$G$1)</f>
        <v>6256</v>
      </c>
      <c r="G43" s="2063"/>
      <c r="H43" s="1989"/>
      <c r="I43" s="847" t="s">
        <v>1822</v>
      </c>
      <c r="J43" s="848">
        <f ca="1">1-J42</f>
        <v>0.84</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75">
        <f ca="1">C67-C40</f>
        <v>-23093</v>
      </c>
      <c r="D46" s="2086"/>
      <c r="E46" s="2086"/>
      <c r="F46" s="2086"/>
      <c r="I46" s="2379" t="s">
        <v>2343</v>
      </c>
      <c r="J46" s="2380"/>
      <c r="K46" s="2381"/>
      <c r="L46" s="3162">
        <f>IF(OR(M47="住宅",D1="土地（套用方法）"),0,IF(L48&gt;J51,L60,J60))</f>
        <v>0</v>
      </c>
      <c r="O46" s="2395" t="s">
        <v>2410</v>
      </c>
      <c r="P46" s="1592"/>
      <c r="Q46" s="1604"/>
      <c r="R46" s="1592"/>
    </row>
    <row r="47" spans="1:18" s="2060" customFormat="1" ht="18" customHeight="1" thickBot="1">
      <c r="A47" s="2373">
        <v>1</v>
      </c>
      <c r="B47" s="2374" t="s">
        <v>635</v>
      </c>
      <c r="C47" s="2575">
        <f ca="1">C48+C52+C54</f>
        <v>0</v>
      </c>
      <c r="D47" s="2086"/>
      <c r="E47" s="2086"/>
      <c r="F47" s="2086"/>
      <c r="I47" s="3152" t="s">
        <v>2344</v>
      </c>
      <c r="J47" s="2382" t="s">
        <v>3418</v>
      </c>
      <c r="K47" s="3159" t="s">
        <v>2349</v>
      </c>
      <c r="L47" s="3163">
        <f ca="1">INDIRECT("'数据-取费表'!d"&amp;$G$1)</f>
        <v>40</v>
      </c>
      <c r="M47" s="1604" t="str">
        <f>IF(ISNUMBER(FIND("住宅",C1)),"住宅","非住宅")</f>
        <v>非住宅</v>
      </c>
      <c r="O47" s="2396" t="s">
        <v>2375</v>
      </c>
      <c r="P47" s="2397" t="s">
        <v>2376</v>
      </c>
      <c r="Q47" s="2398" t="s">
        <v>2377</v>
      </c>
      <c r="R47" s="2397" t="s">
        <v>2378</v>
      </c>
    </row>
    <row r="48" spans="1:18" s="2060" customFormat="1" ht="18" customHeight="1" thickBot="1">
      <c r="A48" s="2643" t="s">
        <v>2537</v>
      </c>
      <c r="B48" s="2644" t="s">
        <v>2538</v>
      </c>
      <c r="C48" s="2375">
        <f ca="1">ROUND(F48*F50*F49*(1-F51)/10000,0)</f>
        <v>0</v>
      </c>
      <c r="D48" s="2376" t="s">
        <v>636</v>
      </c>
      <c r="E48" s="2377" t="s">
        <v>2297</v>
      </c>
      <c r="F48" s="2378"/>
      <c r="G48" s="2091"/>
      <c r="I48" s="3128" t="s">
        <v>2345</v>
      </c>
      <c r="J48" s="2383" t="s">
        <v>2350</v>
      </c>
      <c r="K48" s="3160" t="s">
        <v>2351</v>
      </c>
      <c r="L48" s="1909">
        <f ca="1">INDIRECT("'数据-取费表'!f"&amp;$G$1)</f>
        <v>38.58</v>
      </c>
      <c r="O48" s="2399" t="s">
        <v>2379</v>
      </c>
      <c r="P48" s="2400" t="s">
        <v>2405</v>
      </c>
      <c r="Q48" s="2401">
        <f ca="1">C40+J29</f>
        <v>22125</v>
      </c>
      <c r="R48" s="2400" t="s">
        <v>2380</v>
      </c>
    </row>
    <row r="49" spans="1:18" s="2060" customFormat="1" ht="18" customHeight="1" thickBot="1">
      <c r="A49" s="786"/>
      <c r="B49" s="787"/>
      <c r="C49" s="788"/>
      <c r="D49" s="789"/>
      <c r="E49" s="784" t="s">
        <v>638</v>
      </c>
      <c r="F49" s="785">
        <f ca="1">F7</f>
        <v>6256</v>
      </c>
      <c r="G49" s="2091"/>
      <c r="H49" s="2094"/>
      <c r="I49" s="3128" t="s">
        <v>2346</v>
      </c>
      <c r="J49" s="2384">
        <v>2020</v>
      </c>
      <c r="K49" s="3161" t="s">
        <v>2352</v>
      </c>
      <c r="L49" s="2385"/>
      <c r="O49" s="2399" t="s">
        <v>2381</v>
      </c>
      <c r="P49" s="2400" t="s">
        <v>2406</v>
      </c>
      <c r="Q49" s="2401">
        <f ca="1">J60</f>
        <v>1415</v>
      </c>
      <c r="R49" s="2400" t="s">
        <v>2382</v>
      </c>
    </row>
    <row r="50" spans="1:18" s="2060" customFormat="1" ht="18" customHeight="1" thickBot="1">
      <c r="A50" s="786"/>
      <c r="B50" s="787"/>
      <c r="C50" s="788"/>
      <c r="D50" s="789"/>
      <c r="E50" s="784" t="s">
        <v>639</v>
      </c>
      <c r="F50" s="785">
        <f ca="1">F8</f>
        <v>365</v>
      </c>
      <c r="G50" s="2096"/>
      <c r="H50" s="2094"/>
      <c r="I50" s="3128" t="s">
        <v>2347</v>
      </c>
      <c r="J50" s="3156">
        <f>SUMPRODUCT((I63:I65=J47)*(J62:L62=J48)*(J63:L65))</f>
        <v>60</v>
      </c>
      <c r="K50" s="3161" t="s">
        <v>2353</v>
      </c>
      <c r="L50" s="2385"/>
      <c r="O50" s="2402" t="s">
        <v>2383</v>
      </c>
      <c r="P50" s="2400" t="s">
        <v>2407</v>
      </c>
      <c r="Q50" s="2401">
        <f ca="1">C29</f>
        <v>3537</v>
      </c>
      <c r="R50" s="2400" t="s">
        <v>2380</v>
      </c>
    </row>
    <row r="51" spans="1:18" s="2060" customFormat="1" ht="18" customHeight="1" thickBot="1">
      <c r="A51" s="786"/>
      <c r="B51" s="787"/>
      <c r="C51" s="788"/>
      <c r="D51" s="789"/>
      <c r="E51" s="784" t="s">
        <v>640</v>
      </c>
      <c r="F51" s="2372"/>
      <c r="H51" s="2094"/>
      <c r="I51" s="3153" t="s">
        <v>2348</v>
      </c>
      <c r="J51" s="3157">
        <f>IF(J49="",J50,J49+J50-YEAR('数据-取费表'!B2))</f>
        <v>62</v>
      </c>
      <c r="K51" s="3128" t="s">
        <v>2354</v>
      </c>
      <c r="L51" s="3164">
        <f ca="1">ROUND(-PV(INDIRECT("'数据-取费表'!h"&amp;$G$1),L48,(C39-C13*J36),0),0)</f>
        <v>16057</v>
      </c>
      <c r="O51" s="2402" t="s">
        <v>2384</v>
      </c>
      <c r="P51" s="2400" t="s">
        <v>2385</v>
      </c>
      <c r="Q51" s="2403">
        <f ca="1">J58</f>
        <v>0.4</v>
      </c>
      <c r="R51" s="2404"/>
    </row>
    <row r="52" spans="1:18" s="2060" customFormat="1" ht="18" customHeight="1" thickBot="1">
      <c r="A52" s="781" t="s">
        <v>2536</v>
      </c>
      <c r="B52" s="2495" t="s">
        <v>2459</v>
      </c>
      <c r="C52" s="799">
        <f ca="1">ROUND(IF(F52="押一",C48/12*F11,IF(F52="押二",C48/12*2*F11,IF(F52="押三",C48/12*3*F11,C53*F11))),0)</f>
        <v>0</v>
      </c>
      <c r="D52" s="2502" t="s">
        <v>2969</v>
      </c>
      <c r="E52" s="2499" t="s">
        <v>2464</v>
      </c>
      <c r="F52" s="2622"/>
      <c r="I52" s="3154" t="s">
        <v>2421</v>
      </c>
      <c r="J52" s="2386"/>
      <c r="K52" s="3154" t="s">
        <v>2420</v>
      </c>
      <c r="L52" s="2386"/>
      <c r="O52" s="2402" t="s">
        <v>2386</v>
      </c>
      <c r="P52" s="2400" t="s">
        <v>2387</v>
      </c>
      <c r="Q52" s="2403">
        <f>J52</f>
        <v>0</v>
      </c>
      <c r="R52" s="2404"/>
    </row>
    <row r="53" spans="1:18" s="2060" customFormat="1" ht="39.75" customHeight="1" thickBot="1">
      <c r="A53" s="786"/>
      <c r="B53" s="2496" t="s">
        <v>2573</v>
      </c>
      <c r="C53" s="2500"/>
      <c r="D53" s="2502"/>
      <c r="E53" s="2499"/>
      <c r="F53" s="800"/>
      <c r="I53" s="3155" t="s">
        <v>2973</v>
      </c>
      <c r="J53" s="3158">
        <f ca="1">IF(M47="住宅",IF(D1="——",MAX(J51,L48),MAX(J51,L48-'数据-取费表'!B20)),IF(D1="——",MIN(J51,L48),MIN(J51,L48-'数据-取费表'!B20)))</f>
        <v>36.58</v>
      </c>
      <c r="K53" s="3466" t="s">
        <v>2960</v>
      </c>
      <c r="L53" s="3467"/>
      <c r="O53" s="2402" t="s">
        <v>2388</v>
      </c>
      <c r="P53" s="2400" t="s">
        <v>2389</v>
      </c>
      <c r="Q53" s="2401">
        <f ca="1">J53</f>
        <v>36.58</v>
      </c>
      <c r="R53" s="2400" t="s">
        <v>2390</v>
      </c>
    </row>
    <row r="54" spans="1:18" s="2060" customFormat="1" ht="18" customHeight="1" thickBot="1">
      <c r="A54" s="2538" t="s">
        <v>2467</v>
      </c>
      <c r="B54" s="2539" t="s">
        <v>2460</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2391</v>
      </c>
      <c r="P54" s="2400" t="s">
        <v>2408</v>
      </c>
      <c r="Q54" s="2401">
        <f ca="1">Q48+Q49</f>
        <v>23540</v>
      </c>
      <c r="R54" s="2404" t="s">
        <v>2392</v>
      </c>
    </row>
    <row r="55" spans="1:18" s="2060" customFormat="1" ht="18" customHeight="1" thickTop="1" thickBot="1">
      <c r="A55" s="797">
        <v>2</v>
      </c>
      <c r="B55" s="798" t="s">
        <v>644</v>
      </c>
      <c r="C55" s="799">
        <f ca="1">C13</f>
        <v>3537</v>
      </c>
      <c r="D55" s="795"/>
      <c r="E55" s="795"/>
      <c r="F55" s="800"/>
      <c r="I55" s="3167" t="s">
        <v>2355</v>
      </c>
      <c r="J55" s="3103">
        <f ca="1">ROUND(IF(J47="钢混",J57/J50,1-(1-2%)*(J50-J57)/J50),3)</f>
        <v>0.39</v>
      </c>
      <c r="K55" s="3168" t="s">
        <v>2356</v>
      </c>
      <c r="L55" s="2387"/>
      <c r="O55" s="2405" t="s">
        <v>2411</v>
      </c>
      <c r="P55" s="1592"/>
      <c r="Q55" s="1604"/>
      <c r="R55" s="1592"/>
    </row>
    <row r="56" spans="1:18" s="2060" customFormat="1" ht="42.75" customHeight="1" thickBot="1">
      <c r="A56" s="1650"/>
      <c r="B56" s="2232" t="s">
        <v>2303</v>
      </c>
      <c r="C56" s="53">
        <f ca="1">C29</f>
        <v>3537</v>
      </c>
      <c r="D56" s="3180"/>
      <c r="E56" s="784"/>
      <c r="F56" s="809"/>
      <c r="I56" s="3169" t="s">
        <v>2357</v>
      </c>
      <c r="J56" s="3179" t="s">
        <v>2994</v>
      </c>
      <c r="K56" s="3128" t="s">
        <v>2362</v>
      </c>
      <c r="L56" s="1909" t="str">
        <f ca="1">IF(L48&lt;J51,"——",L48-J51)</f>
        <v>——</v>
      </c>
      <c r="O56" s="2396" t="s">
        <v>2375</v>
      </c>
      <c r="P56" s="2397" t="s">
        <v>2376</v>
      </c>
      <c r="Q56" s="2398" t="s">
        <v>2377</v>
      </c>
      <c r="R56" s="2397" t="s">
        <v>2378</v>
      </c>
    </row>
    <row r="57" spans="1:18" s="2060" customFormat="1" ht="28.5" customHeight="1" thickBot="1">
      <c r="A57" s="797" t="s">
        <v>1748</v>
      </c>
      <c r="B57" s="798" t="s">
        <v>651</v>
      </c>
      <c r="C57" s="799">
        <f ca="1">ROUND(C58+C63+C64+C65,0)</f>
        <v>62</v>
      </c>
      <c r="D57" s="26" t="s">
        <v>1750</v>
      </c>
      <c r="E57" s="3186"/>
      <c r="F57" s="56"/>
      <c r="I57" s="3170" t="s">
        <v>2358</v>
      </c>
      <c r="J57" s="3171">
        <f ca="1">IF(OR(M47="住宅",J51&lt;L48,J56="是"),"——",J51-L48)</f>
        <v>23.42</v>
      </c>
      <c r="K57" s="3128" t="s">
        <v>2363</v>
      </c>
      <c r="L57" s="1909" t="str">
        <f ca="1">IF(L48&lt;J51,"——",IF(L55="比较法",L49,IF(L55="基准地价",L50,L51)))</f>
        <v>——</v>
      </c>
      <c r="O57" s="2399" t="s">
        <v>2379</v>
      </c>
      <c r="P57" s="2400" t="s">
        <v>2409</v>
      </c>
      <c r="Q57" s="2401">
        <f ca="1">C40+J29</f>
        <v>22125</v>
      </c>
      <c r="R57" s="2400" t="s">
        <v>2380</v>
      </c>
    </row>
    <row r="58" spans="1:18" s="2060" customFormat="1" ht="28.5" customHeight="1" thickBot="1">
      <c r="A58" s="1649" t="s">
        <v>1824</v>
      </c>
      <c r="B58" s="784" t="s">
        <v>656</v>
      </c>
      <c r="C58" s="53">
        <f ca="1">ROUND(IF(项目基本情况!B11="自然人",C47*F58,C59+C60+C61),1)</f>
        <v>3.4</v>
      </c>
      <c r="D58" s="3181" t="s">
        <v>657</v>
      </c>
      <c r="E58" s="3180" t="s">
        <v>690</v>
      </c>
      <c r="F58" s="810" t="str">
        <f ca="1">IF(项目基本情况!B11="企业","",IF(INDIRECT("'数据-取费表'!c"&amp;$G$1)="住宅",5%,IF(F48*F49*F50/12/(1+'数据-取费表'!C42)&gt;20000,12%,7%)))</f>
        <v/>
      </c>
      <c r="I58" s="3170" t="s">
        <v>2359</v>
      </c>
      <c r="J58" s="3104">
        <f ca="1">IF(J55&lt;0.4,0.4,J55)</f>
        <v>0.4</v>
      </c>
      <c r="K58" s="3128" t="s">
        <v>2364</v>
      </c>
      <c r="L58" s="1909" t="e">
        <f ca="1">ROUND(POWER(1+L52,L47-L48)*(POWER(1+L52,L48)-1)/(POWER(1+L52,L47)-1),4)</f>
        <v>#DIV/0!</v>
      </c>
      <c r="O58" s="2399" t="s">
        <v>2381</v>
      </c>
      <c r="P58" s="2400" t="s">
        <v>2412</v>
      </c>
      <c r="Q58" s="2401">
        <f ca="1">L60</f>
        <v>0</v>
      </c>
      <c r="R58" s="2404" t="s">
        <v>2414</v>
      </c>
    </row>
    <row r="59" spans="1:18" s="2060" customFormat="1" ht="28.5" customHeight="1" thickBot="1">
      <c r="A59" s="1648" t="s">
        <v>1831</v>
      </c>
      <c r="B59" s="784" t="s">
        <v>660</v>
      </c>
      <c r="C59" s="53">
        <f ca="1">ROUND(C47*F59/1.05,1)</f>
        <v>0</v>
      </c>
      <c r="D59" s="3180" t="s">
        <v>661</v>
      </c>
      <c r="E59" s="784" t="s">
        <v>1747</v>
      </c>
      <c r="F59" s="809">
        <f t="shared" ref="F59:F65" si="0">F32</f>
        <v>5.6000000000000001E-2</v>
      </c>
      <c r="I59" s="3170" t="s">
        <v>2360</v>
      </c>
      <c r="J59" s="3171">
        <f ca="1">IF(OR(M47="住宅",J51&lt;L48,J56="是"),"——",ROUND(C29*J58,0))</f>
        <v>1415</v>
      </c>
      <c r="K59" s="3128"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2383</v>
      </c>
      <c r="P59" s="2400" t="s">
        <v>2413</v>
      </c>
      <c r="Q59" s="2401">
        <f>IF(L55="比较法",L49,IF(L55="基准地价",L50,0))</f>
        <v>0</v>
      </c>
      <c r="R59" s="2400" t="s">
        <v>2380</v>
      </c>
    </row>
    <row r="60" spans="1:18" s="2060" customFormat="1" ht="18" customHeight="1" thickBot="1">
      <c r="A60" s="1648" t="s">
        <v>1832</v>
      </c>
      <c r="B60" s="784" t="s">
        <v>664</v>
      </c>
      <c r="C60" s="53">
        <f ca="1">IF(D60="按租金收入计税",ROUND(C47*F60,1),IF(D60="按房产原值计税",ROUND(C56*F60*0.7,1),INDIRECT("'数据-取费表'!Aj"&amp;$G$1)))</f>
        <v>0</v>
      </c>
      <c r="D60" s="3180" t="str">
        <f>D33</f>
        <v>按租金收入计税</v>
      </c>
      <c r="E60" s="784" t="s">
        <v>1747</v>
      </c>
      <c r="F60" s="809">
        <f t="shared" si="0"/>
        <v>0.12</v>
      </c>
      <c r="I60" s="3172" t="s">
        <v>2361</v>
      </c>
      <c r="J60" s="3173">
        <f ca="1">IF(OR(M47="住宅",J51&lt;L48,J56="是"),"0",ROUND(J59/(1+J52)^J53,0))</f>
        <v>1415</v>
      </c>
      <c r="K60" s="3174" t="s">
        <v>2366</v>
      </c>
      <c r="L60" s="3173">
        <f ca="1">IF(OR(M47="住宅",L48&lt;J51),0,ROUND(L57*(L58/L59-1),0))</f>
        <v>0</v>
      </c>
      <c r="O60" s="2402" t="s">
        <v>2384</v>
      </c>
      <c r="P60" s="2400" t="s">
        <v>2393</v>
      </c>
      <c r="Q60" s="2403">
        <f>L52</f>
        <v>0</v>
      </c>
      <c r="R60" s="2404"/>
    </row>
    <row r="61" spans="1:18" s="2060" customFormat="1" ht="18" customHeight="1" thickBot="1">
      <c r="A61" s="1651" t="s">
        <v>1833</v>
      </c>
      <c r="B61" s="341" t="s">
        <v>668</v>
      </c>
      <c r="C61" s="54">
        <f ca="1">ROUND(F61*F62/10000,1)</f>
        <v>3.4</v>
      </c>
      <c r="D61" s="814" t="s">
        <v>669</v>
      </c>
      <c r="E61" s="784" t="s">
        <v>670</v>
      </c>
      <c r="F61" s="640">
        <f t="shared" si="0"/>
        <v>12</v>
      </c>
      <c r="K61" s="2087"/>
      <c r="O61" s="2402" t="s">
        <v>2386</v>
      </c>
      <c r="P61" s="2400" t="s">
        <v>2394</v>
      </c>
      <c r="Q61" s="2401" t="e">
        <f ca="1">L58</f>
        <v>#DIV/0!</v>
      </c>
      <c r="R61" s="2404" t="s">
        <v>2395</v>
      </c>
    </row>
    <row r="62" spans="1:18" s="2060" customFormat="1" ht="15.75" thickBot="1">
      <c r="A62" s="815"/>
      <c r="B62" s="793"/>
      <c r="C62" s="69"/>
      <c r="D62" s="816"/>
      <c r="E62" s="784" t="s">
        <v>674</v>
      </c>
      <c r="F62" s="785">
        <f t="shared" ca="1" si="0"/>
        <v>2847.4900000000002</v>
      </c>
      <c r="I62" s="3175" t="s">
        <v>2367</v>
      </c>
      <c r="J62" s="3176" t="s">
        <v>2368</v>
      </c>
      <c r="K62" s="3176" t="s">
        <v>2369</v>
      </c>
      <c r="L62" s="3176" t="s">
        <v>2350</v>
      </c>
      <c r="M62" s="3177" t="s">
        <v>2936</v>
      </c>
      <c r="O62" s="2402" t="s">
        <v>2388</v>
      </c>
      <c r="P62" s="2400" t="str">
        <f>K59</f>
        <v>建设期及建筑物耐用年限下的土地年期修正系数Kn</v>
      </c>
      <c r="Q62" s="2401" t="e">
        <f ca="1">L59</f>
        <v>#DIV/0!</v>
      </c>
      <c r="R62" s="2404" t="s">
        <v>2397</v>
      </c>
    </row>
    <row r="63" spans="1:18" s="2060" customFormat="1" ht="15.75" thickBot="1">
      <c r="A63" s="1649" t="s">
        <v>1889</v>
      </c>
      <c r="B63" s="784" t="s">
        <v>676</v>
      </c>
      <c r="C63" s="53">
        <f ca="1">ROUND(C56*F63,1)</f>
        <v>53.1</v>
      </c>
      <c r="D63" s="3180" t="s">
        <v>691</v>
      </c>
      <c r="E63" s="784" t="s">
        <v>1747</v>
      </c>
      <c r="F63" s="817">
        <f t="shared" ca="1" si="0"/>
        <v>1.4999999999999999E-2</v>
      </c>
      <c r="I63" s="3175" t="s">
        <v>2370</v>
      </c>
      <c r="J63" s="3176">
        <v>70</v>
      </c>
      <c r="K63" s="3176">
        <v>50</v>
      </c>
      <c r="L63" s="3176">
        <v>80</v>
      </c>
      <c r="M63" s="3178">
        <v>0.02</v>
      </c>
      <c r="O63" s="2399" t="s">
        <v>2391</v>
      </c>
      <c r="P63" s="2400" t="s">
        <v>2408</v>
      </c>
      <c r="Q63" s="2401">
        <f ca="1">Q57+Q58</f>
        <v>22125</v>
      </c>
      <c r="R63" s="2404" t="s">
        <v>2392</v>
      </c>
    </row>
    <row r="64" spans="1:18" s="2060" customFormat="1" ht="16.5" thickBot="1">
      <c r="A64" s="1649" t="s">
        <v>1890</v>
      </c>
      <c r="B64" s="784" t="s">
        <v>679</v>
      </c>
      <c r="C64" s="53">
        <f ca="1">ROUND(C55*F64,1)</f>
        <v>5.3</v>
      </c>
      <c r="D64" s="3180" t="s">
        <v>680</v>
      </c>
      <c r="E64" s="784" t="s">
        <v>1747</v>
      </c>
      <c r="F64" s="818">
        <f t="shared" ca="1" si="0"/>
        <v>1.5E-3</v>
      </c>
      <c r="I64" s="3175" t="s">
        <v>2371</v>
      </c>
      <c r="J64" s="3176">
        <v>50</v>
      </c>
      <c r="K64" s="3176">
        <v>35</v>
      </c>
      <c r="L64" s="3176">
        <v>60</v>
      </c>
      <c r="M64" s="846">
        <v>0</v>
      </c>
      <c r="O64" s="2405" t="s">
        <v>2415</v>
      </c>
      <c r="P64" s="1592"/>
      <c r="Q64" s="1604"/>
      <c r="R64" s="1592"/>
    </row>
    <row r="65" spans="1:18" s="2060" customFormat="1" ht="15.75" thickBot="1">
      <c r="A65" s="1649" t="s">
        <v>1891</v>
      </c>
      <c r="B65" s="784" t="s">
        <v>666</v>
      </c>
      <c r="C65" s="53">
        <f ca="1">ROUND(C47*F65,1)</f>
        <v>0</v>
      </c>
      <c r="D65" s="3180" t="s">
        <v>683</v>
      </c>
      <c r="E65" s="784" t="s">
        <v>1747</v>
      </c>
      <c r="F65" s="794">
        <f t="shared" ca="1" si="0"/>
        <v>0.01</v>
      </c>
      <c r="I65" s="3175" t="s">
        <v>2372</v>
      </c>
      <c r="J65" s="3176">
        <v>40</v>
      </c>
      <c r="K65" s="3176">
        <v>30</v>
      </c>
      <c r="L65" s="3176">
        <v>50</v>
      </c>
      <c r="M65" s="3178">
        <v>0.02</v>
      </c>
      <c r="O65" s="2396" t="s">
        <v>2375</v>
      </c>
      <c r="P65" s="2397" t="s">
        <v>2376</v>
      </c>
      <c r="Q65" s="2398" t="s">
        <v>2377</v>
      </c>
      <c r="R65" s="2397" t="s">
        <v>2378</v>
      </c>
    </row>
    <row r="66" spans="1:18" s="2060" customFormat="1" ht="24.75" thickBot="1">
      <c r="A66" s="797" t="s">
        <v>1776</v>
      </c>
      <c r="B66" s="3012" t="s">
        <v>2821</v>
      </c>
      <c r="C66" s="799">
        <f ca="1">C47-C57</f>
        <v>-62</v>
      </c>
      <c r="D66" s="3181" t="s">
        <v>700</v>
      </c>
      <c r="E66" s="3185"/>
      <c r="F66" s="820"/>
      <c r="K66" s="2087"/>
      <c r="O66" s="2399" t="s">
        <v>2379</v>
      </c>
      <c r="P66" s="2400" t="s">
        <v>2409</v>
      </c>
      <c r="Q66" s="2401">
        <f ca="1">C40+J29</f>
        <v>22125</v>
      </c>
      <c r="R66" s="2400" t="s">
        <v>2380</v>
      </c>
    </row>
    <row r="67" spans="1:18" s="2060" customFormat="1" ht="20.25" thickBot="1">
      <c r="A67" s="781" t="s">
        <v>1780</v>
      </c>
      <c r="B67" s="2233" t="s">
        <v>2302</v>
      </c>
      <c r="C67" s="783">
        <f ca="1">ROUND(C66*(1-((1+F69)/(1+F67))^F68)/(F67-F69),0)</f>
        <v>-968</v>
      </c>
      <c r="D67" s="814" t="s">
        <v>704</v>
      </c>
      <c r="E67" s="784" t="s">
        <v>705</v>
      </c>
      <c r="F67" s="794">
        <f ca="1">F40</f>
        <v>5.5E-2</v>
      </c>
      <c r="K67" s="2087"/>
      <c r="O67" s="2399" t="s">
        <v>2381</v>
      </c>
      <c r="P67" s="2400" t="s">
        <v>2412</v>
      </c>
      <c r="Q67" s="2401">
        <f ca="1">L60</f>
        <v>0</v>
      </c>
      <c r="R67" s="2404" t="s">
        <v>2414</v>
      </c>
    </row>
    <row r="68" spans="1:18" ht="21.75" thickBot="1">
      <c r="A68" s="786"/>
      <c r="B68" s="787"/>
      <c r="C68" s="788"/>
      <c r="D68" s="821" t="s">
        <v>1808</v>
      </c>
      <c r="E68" s="784" t="s">
        <v>708</v>
      </c>
      <c r="F68" s="822">
        <f ca="1">F41</f>
        <v>36.58</v>
      </c>
      <c r="O68" s="2402" t="s">
        <v>2383</v>
      </c>
      <c r="P68" s="2400" t="s">
        <v>2413</v>
      </c>
      <c r="Q68" s="2406">
        <f ca="1">L51</f>
        <v>16057</v>
      </c>
      <c r="R68" s="2407" t="s">
        <v>2416</v>
      </c>
    </row>
    <row r="69" spans="1:18" ht="20.25" thickBot="1">
      <c r="A69" s="790"/>
      <c r="B69" s="791"/>
      <c r="C69" s="792"/>
      <c r="D69" s="816"/>
      <c r="E69" s="784" t="s">
        <v>710</v>
      </c>
      <c r="F69" s="2372"/>
      <c r="O69" s="2402" t="s">
        <v>2384</v>
      </c>
      <c r="P69" s="2408" t="s">
        <v>2398</v>
      </c>
      <c r="Q69" s="2401">
        <f ca="1">ROUND(Q70-Q71*Q72,0)</f>
        <v>947</v>
      </c>
      <c r="R69" s="2404"/>
    </row>
    <row r="70" spans="1:18" ht="15.75" thickBot="1">
      <c r="A70" s="823" t="s">
        <v>1787</v>
      </c>
      <c r="B70" s="824" t="s">
        <v>1810</v>
      </c>
      <c r="C70" s="825">
        <f ca="1">ROUND(C67*10000/F70,0)</f>
        <v>-1547</v>
      </c>
      <c r="D70" s="826" t="s">
        <v>1811</v>
      </c>
      <c r="E70" s="827" t="s">
        <v>1812</v>
      </c>
      <c r="F70" s="828">
        <f ca="1">F43</f>
        <v>6256</v>
      </c>
      <c r="O70" s="2402" t="s">
        <v>2399</v>
      </c>
      <c r="P70" s="2408" t="s">
        <v>2400</v>
      </c>
      <c r="Q70" s="2401">
        <f ca="1">C39</f>
        <v>947</v>
      </c>
      <c r="R70" s="2400" t="s">
        <v>2380</v>
      </c>
    </row>
    <row r="71" spans="1:18" ht="15.75" thickBot="1">
      <c r="O71" s="2402" t="s">
        <v>2401</v>
      </c>
      <c r="P71" s="2408" t="s">
        <v>2402</v>
      </c>
      <c r="Q71" s="2401">
        <f ca="1">C13</f>
        <v>3537</v>
      </c>
      <c r="R71" s="2400" t="s">
        <v>2380</v>
      </c>
    </row>
    <row r="72" spans="1:18" ht="15.75" thickBot="1">
      <c r="O72" s="2402" t="s">
        <v>2403</v>
      </c>
      <c r="P72" s="2408" t="s">
        <v>2404</v>
      </c>
      <c r="Q72" s="2403">
        <f ca="1">J36</f>
        <v>0</v>
      </c>
      <c r="R72" s="2404"/>
    </row>
    <row r="73" spans="1:18" ht="15.75" thickBot="1">
      <c r="O73" s="2402" t="s">
        <v>2386</v>
      </c>
      <c r="P73" s="2400" t="s">
        <v>2393</v>
      </c>
      <c r="Q73" s="2403">
        <f>L52</f>
        <v>0</v>
      </c>
      <c r="R73" s="2404"/>
    </row>
    <row r="74" spans="1:18" ht="20.25" thickBot="1">
      <c r="O74" s="2402" t="s">
        <v>2388</v>
      </c>
      <c r="P74" s="2400" t="s">
        <v>2394</v>
      </c>
      <c r="Q74" s="2401" t="e">
        <f ca="1">L58</f>
        <v>#DIV/0!</v>
      </c>
      <c r="R74" s="2404" t="s">
        <v>2395</v>
      </c>
    </row>
    <row r="75" spans="1:18" ht="15.75" thickBot="1">
      <c r="O75" s="2402" t="s">
        <v>2417</v>
      </c>
      <c r="P75" s="2400" t="str">
        <f>K59</f>
        <v>建设期及建筑物耐用年限下的土地年期修正系数Kn</v>
      </c>
      <c r="Q75" s="2401" t="e">
        <f ca="1">L59</f>
        <v>#DIV/0!</v>
      </c>
      <c r="R75" s="2404" t="s">
        <v>2397</v>
      </c>
    </row>
    <row r="76" spans="1:18" ht="15.75" thickBot="1">
      <c r="O76" s="2399" t="s">
        <v>2391</v>
      </c>
      <c r="P76" s="2400" t="s">
        <v>2408</v>
      </c>
      <c r="Q76" s="2401">
        <f ca="1">Q66+Q67</f>
        <v>22125</v>
      </c>
      <c r="R76" s="240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35" priority="6">
      <formula>$L$48&gt;$J$51</formula>
    </cfRule>
  </conditionalFormatting>
  <conditionalFormatting sqref="I55">
    <cfRule type="expression" dxfId="34" priority="7">
      <formula>$J$51&gt;$L$48</formula>
    </cfRule>
  </conditionalFormatting>
  <conditionalFormatting sqref="I60">
    <cfRule type="expression" dxfId="33" priority="5">
      <formula>$J$51&gt;$L$48</formula>
    </cfRule>
  </conditionalFormatting>
  <conditionalFormatting sqref="K60">
    <cfRule type="expression" dxfId="32" priority="4">
      <formula>$L$48&gt;$J$51</formula>
    </cfRule>
  </conditionalFormatting>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3">
    <cfRule type="expression" dxfId="29"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3010</v>
      </c>
      <c r="D1" s="3127" t="s">
        <v>3415</v>
      </c>
      <c r="E1" s="2388" t="s">
        <v>2374</v>
      </c>
      <c r="F1" s="2389">
        <f ca="1">J53</f>
        <v>36.58</v>
      </c>
      <c r="G1" s="774">
        <f>MATCH(C1,'数据-取费表'!A6:A16,0)+5</f>
        <v>8</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13083</v>
      </c>
      <c r="C2" s="2058"/>
      <c r="D2" s="2056"/>
      <c r="E2" s="2057"/>
      <c r="F2" s="2057"/>
      <c r="G2" s="1590"/>
      <c r="H2" s="2058"/>
      <c r="I2" s="2058"/>
      <c r="J2" s="2058"/>
      <c r="K2" s="2059"/>
      <c r="L2" s="2058"/>
      <c r="M2" s="2058"/>
    </row>
    <row r="3" spans="1:33" ht="18" customHeight="1" thickBot="1">
      <c r="A3" s="833" t="s">
        <v>1727</v>
      </c>
      <c r="B3" s="834">
        <f ca="1">IF(ISERROR(B2*10000/F43),0,ROUND(B2*10000/F43,0))</f>
        <v>35388</v>
      </c>
      <c r="C3" s="2058"/>
      <c r="D3" s="2056"/>
      <c r="E3" s="2057"/>
      <c r="F3" s="2057"/>
      <c r="G3" s="1590"/>
      <c r="H3" s="776" t="s">
        <v>695</v>
      </c>
      <c r="I3" s="1363"/>
      <c r="J3" s="1363"/>
      <c r="K3" s="1591"/>
      <c r="L3" s="1363"/>
      <c r="M3" s="1363"/>
    </row>
    <row r="4" spans="1:33" ht="18" customHeight="1">
      <c r="A4" s="777" t="s">
        <v>630</v>
      </c>
      <c r="B4" s="778" t="s">
        <v>631</v>
      </c>
      <c r="C4" s="778" t="s">
        <v>1730</v>
      </c>
      <c r="D4" s="778" t="s">
        <v>633</v>
      </c>
      <c r="E4" s="779" t="s">
        <v>1731</v>
      </c>
      <c r="F4" s="780"/>
      <c r="G4" s="1592"/>
      <c r="H4" s="777" t="s">
        <v>1732</v>
      </c>
      <c r="I4" s="778" t="s">
        <v>631</v>
      </c>
      <c r="J4" s="778" t="s">
        <v>1734</v>
      </c>
      <c r="K4" s="778" t="s">
        <v>1735</v>
      </c>
      <c r="L4" s="779" t="s">
        <v>634</v>
      </c>
      <c r="M4" s="780"/>
    </row>
    <row r="5" spans="1:33" ht="18" customHeight="1">
      <c r="A5" s="781">
        <v>1</v>
      </c>
      <c r="B5" s="782" t="s">
        <v>2458</v>
      </c>
      <c r="C5" s="55">
        <f ca="1">C6+C10+C12</f>
        <v>730</v>
      </c>
      <c r="D5" s="2497" t="s">
        <v>2461</v>
      </c>
      <c r="E5" s="2491"/>
      <c r="F5" s="2492"/>
      <c r="G5" s="1592"/>
      <c r="H5" s="781">
        <v>1</v>
      </c>
      <c r="I5" s="782" t="s">
        <v>2458</v>
      </c>
      <c r="J5" s="55">
        <f ca="1">J6+J10+J12</f>
        <v>0</v>
      </c>
      <c r="K5" s="2497" t="s">
        <v>2461</v>
      </c>
      <c r="L5" s="2491"/>
      <c r="M5" s="2492"/>
    </row>
    <row r="6" spans="1:33" ht="18" customHeight="1">
      <c r="A6" s="1831" t="s">
        <v>1824</v>
      </c>
      <c r="B6" s="3450" t="s">
        <v>2463</v>
      </c>
      <c r="C6" s="783">
        <f ca="1">ROUND(F6*F8*F7*(1-F9)/10000,0)</f>
        <v>729</v>
      </c>
      <c r="D6" s="2498" t="s">
        <v>2462</v>
      </c>
      <c r="E6" s="784" t="s">
        <v>1738</v>
      </c>
      <c r="F6" s="785">
        <f ca="1">INDIRECT("'数据-取费表'!u"&amp;$G$1)</f>
        <v>6</v>
      </c>
      <c r="G6" s="1592"/>
      <c r="H6" s="2505" t="s">
        <v>1824</v>
      </c>
      <c r="I6" s="3450" t="s">
        <v>2463</v>
      </c>
      <c r="J6" s="783">
        <f ca="1">ROUND(M6*M8*M7*(1-M9)/10000,0)</f>
        <v>0</v>
      </c>
      <c r="K6" s="341" t="s">
        <v>636</v>
      </c>
      <c r="L6" s="784" t="s">
        <v>1738</v>
      </c>
      <c r="M6" s="785">
        <f ca="1">INDIRECT("'数据-取费表'!z"&amp;$G$1)</f>
        <v>0</v>
      </c>
    </row>
    <row r="7" spans="1:33" ht="18" customHeight="1">
      <c r="A7" s="2501"/>
      <c r="B7" s="3451"/>
      <c r="C7" s="788"/>
      <c r="D7" s="789"/>
      <c r="E7" s="784" t="s">
        <v>638</v>
      </c>
      <c r="F7" s="785">
        <f ca="1">IF(INDIRECT("'数据-取费表'!ah"&amp;$G$1)="",INDIRECT("'数据-取费表'!k"&amp;$G$1),INDIRECT("'数据-取费表'!ah"&amp;$G$1))</f>
        <v>3697</v>
      </c>
      <c r="G7" s="1592"/>
      <c r="H7" s="2490"/>
      <c r="I7" s="3451"/>
      <c r="J7" s="788"/>
      <c r="K7" s="789"/>
      <c r="L7" s="784" t="s">
        <v>638</v>
      </c>
      <c r="M7" s="785">
        <f ca="1">F7</f>
        <v>3697</v>
      </c>
    </row>
    <row r="8" spans="1:33" ht="18" customHeight="1">
      <c r="A8" s="2494"/>
      <c r="B8" s="3452"/>
      <c r="C8" s="788"/>
      <c r="D8" s="789"/>
      <c r="E8" s="784" t="s">
        <v>639</v>
      </c>
      <c r="F8" s="785">
        <f ca="1">INDIRECT("'数据-取费表'!ai"&amp;$G$1)</f>
        <v>365</v>
      </c>
      <c r="G8" s="1592"/>
      <c r="H8" s="2490"/>
      <c r="I8" s="3452"/>
      <c r="J8" s="788"/>
      <c r="K8" s="789"/>
      <c r="L8" s="784" t="s">
        <v>639</v>
      </c>
      <c r="M8" s="785">
        <f ca="1">INDIRECT("'数据-取费表'!ai"&amp;$G$1)</f>
        <v>365</v>
      </c>
    </row>
    <row r="9" spans="1:33" ht="18" customHeight="1">
      <c r="A9" s="786"/>
      <c r="B9" s="3453"/>
      <c r="C9" s="788"/>
      <c r="D9" s="789"/>
      <c r="E9" s="784" t="s">
        <v>640</v>
      </c>
      <c r="F9" s="794">
        <f ca="1">INDIRECT("'数据-取费表'!w"&amp;$G$1)</f>
        <v>0.1</v>
      </c>
      <c r="G9" s="1592"/>
      <c r="H9" s="2506"/>
      <c r="I9" s="3452"/>
      <c r="J9" s="788"/>
      <c r="K9" s="789"/>
      <c r="L9" s="795" t="s">
        <v>640</v>
      </c>
      <c r="M9" s="796">
        <f ca="1">INDIRECT("'数据-取费表'!ab"&amp;$G$1)</f>
        <v>0</v>
      </c>
    </row>
    <row r="10" spans="1:33" ht="18" customHeight="1">
      <c r="A10" s="1831" t="s">
        <v>1834</v>
      </c>
      <c r="B10" s="2495" t="s">
        <v>2459</v>
      </c>
      <c r="C10" s="799">
        <f ca="1">ROUND(IF(F10="押一",C6/12*F11,IF(F10="押二",C6/12*2*F11,IF(F10="押三",C6/12*3*F11,C11*F11))),0)</f>
        <v>1</v>
      </c>
      <c r="D10" s="2502" t="s">
        <v>2968</v>
      </c>
      <c r="E10" s="2499" t="s">
        <v>2464</v>
      </c>
      <c r="F10" s="2622" t="s">
        <v>3416</v>
      </c>
      <c r="G10" s="1592"/>
      <c r="H10" s="2562" t="s">
        <v>1834</v>
      </c>
      <c r="I10" s="2567" t="s">
        <v>2459</v>
      </c>
      <c r="J10" s="783">
        <f ca="1">ROUND(IF(M10="押一",J6/12*M11,IF(M10="押二",J6/12*2*M11,IF(M10="押三",J6/12*3*M11,J11*M11))),0)</f>
        <v>0</v>
      </c>
      <c r="K10" s="2502" t="s">
        <v>2968</v>
      </c>
      <c r="L10" s="2499" t="s">
        <v>2464</v>
      </c>
      <c r="M10" s="2622"/>
    </row>
    <row r="11" spans="1:33" ht="18" customHeight="1">
      <c r="A11" s="790"/>
      <c r="B11" s="2496" t="s">
        <v>2573</v>
      </c>
      <c r="C11" s="2500"/>
      <c r="D11" s="789"/>
      <c r="E11" s="2499" t="s">
        <v>2456</v>
      </c>
      <c r="F11" s="796">
        <f ca="1">'数据-取费表'!B39</f>
        <v>1.4999999999999999E-2</v>
      </c>
      <c r="G11" s="1592"/>
      <c r="H11" s="2563"/>
      <c r="I11" s="2496" t="s">
        <v>2573</v>
      </c>
      <c r="J11" s="2500"/>
      <c r="K11" s="2564"/>
      <c r="L11" s="2499" t="s">
        <v>2456</v>
      </c>
      <c r="M11" s="2493">
        <f ca="1">'数据-取费表'!B39</f>
        <v>1.4999999999999999E-2</v>
      </c>
    </row>
    <row r="12" spans="1:33" ht="18" customHeight="1" thickBot="1">
      <c r="A12" s="2538" t="s">
        <v>2467</v>
      </c>
      <c r="B12" s="2539" t="s">
        <v>2460</v>
      </c>
      <c r="C12" s="2540"/>
      <c r="D12" s="2541"/>
      <c r="E12" s="2542"/>
      <c r="F12" s="2543"/>
      <c r="G12" s="1592"/>
      <c r="H12" s="2552" t="s">
        <v>2467</v>
      </c>
      <c r="I12" s="2565" t="s">
        <v>2460</v>
      </c>
      <c r="J12" s="2566"/>
      <c r="K12" s="2541"/>
      <c r="L12" s="2542"/>
      <c r="M12" s="2555"/>
    </row>
    <row r="13" spans="1:33" ht="18" customHeight="1" thickTop="1">
      <c r="A13" s="1830">
        <v>2</v>
      </c>
      <c r="B13" s="1828" t="s">
        <v>644</v>
      </c>
      <c r="C13" s="792">
        <f ca="1">ROUND(C29*F13,0)</f>
        <v>2092</v>
      </c>
      <c r="D13" s="1835" t="s">
        <v>2298</v>
      </c>
      <c r="E13" s="1835" t="s">
        <v>643</v>
      </c>
      <c r="F13" s="2537">
        <f ca="1">INDIRECT("'数据-取费表'!y"&amp;$G$1)</f>
        <v>1</v>
      </c>
      <c r="G13" s="1592"/>
      <c r="H13" s="1830">
        <v>2</v>
      </c>
      <c r="I13" s="1828" t="s">
        <v>644</v>
      </c>
      <c r="J13" s="1820">
        <f ca="1">ROUND(J14*J15,0)</f>
        <v>0</v>
      </c>
      <c r="K13" s="1822" t="s">
        <v>642</v>
      </c>
      <c r="L13" s="2553"/>
      <c r="M13" s="2554"/>
    </row>
    <row r="14" spans="1:33" ht="18" customHeight="1">
      <c r="A14" s="1648" t="s">
        <v>1831</v>
      </c>
      <c r="B14" s="784" t="s">
        <v>645</v>
      </c>
      <c r="C14" s="804">
        <f ca="1">INDIRECT("'数据-取费表'!m"&amp;$G$1)+INDIRECT("'数据-取费表'!t"&amp;$G$1)</f>
        <v>1430</v>
      </c>
      <c r="D14" s="3181" t="s">
        <v>1745</v>
      </c>
      <c r="E14" s="3182"/>
      <c r="F14" s="805"/>
      <c r="G14" s="1592"/>
      <c r="H14" s="1649" t="s">
        <v>1824</v>
      </c>
      <c r="I14" s="2232" t="s">
        <v>2824</v>
      </c>
      <c r="J14" s="53">
        <f ca="1">C29</f>
        <v>2092</v>
      </c>
      <c r="K14" s="26"/>
      <c r="L14" s="801"/>
      <c r="M14" s="802"/>
    </row>
    <row r="15" spans="1:33" s="2065" customFormat="1" ht="18" customHeight="1" thickBot="1">
      <c r="A15" s="1648" t="s">
        <v>1832</v>
      </c>
      <c r="B15" s="784" t="s">
        <v>647</v>
      </c>
      <c r="C15" s="53">
        <f ca="1">ROUND(C14*F15,0)</f>
        <v>43</v>
      </c>
      <c r="D15" s="806" t="s">
        <v>648</v>
      </c>
      <c r="E15" s="806" t="s">
        <v>1747</v>
      </c>
      <c r="F15" s="807">
        <f>'数据-取费表'!B33</f>
        <v>0.03</v>
      </c>
      <c r="G15" s="1593"/>
      <c r="H15" s="2552" t="s">
        <v>1889</v>
      </c>
      <c r="I15" s="2547" t="s">
        <v>643</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1886</v>
      </c>
      <c r="B16" s="784" t="s">
        <v>650</v>
      </c>
      <c r="C16" s="53">
        <f ca="1">ROUND(INDIRECT("'数据-取费表'!m"&amp;$G$1)*F16,0)</f>
        <v>0</v>
      </c>
      <c r="D16" s="784" t="s">
        <v>648</v>
      </c>
      <c r="E16" s="784" t="s">
        <v>1747</v>
      </c>
      <c r="F16" s="809">
        <f ca="1">IF(INDIRECT("'数据-取费表'!c"&amp;$G$1)="住宅",'数据-取费表'!B34,0)</f>
        <v>0</v>
      </c>
      <c r="G16" s="1592"/>
      <c r="H16" s="1830" t="s">
        <v>1748</v>
      </c>
      <c r="I16" s="1828" t="s">
        <v>1749</v>
      </c>
      <c r="J16" s="792">
        <f ca="1">ROUND(J17+J22+J23+J24,0)</f>
        <v>209</v>
      </c>
      <c r="K16" s="1822" t="s">
        <v>1750</v>
      </c>
      <c r="L16" s="3183"/>
      <c r="M16" s="2492"/>
    </row>
    <row r="17" spans="1:33" s="2065" customFormat="1" ht="18" customHeight="1">
      <c r="A17" s="1648" t="s">
        <v>1887</v>
      </c>
      <c r="B17" s="784" t="s">
        <v>653</v>
      </c>
      <c r="C17" s="53">
        <f ca="1">ROUND(F17*(F43+INDIRECT("'数据-取费表'!S"&amp;$G$1))/10000,0)</f>
        <v>85</v>
      </c>
      <c r="D17" s="784" t="s">
        <v>654</v>
      </c>
      <c r="E17" s="784" t="s">
        <v>1752</v>
      </c>
      <c r="F17" s="56">
        <f>'数据-取费表'!B35</f>
        <v>200</v>
      </c>
      <c r="G17" s="1593"/>
      <c r="H17" s="1649" t="s">
        <v>1824</v>
      </c>
      <c r="I17" s="784" t="s">
        <v>656</v>
      </c>
      <c r="J17" s="53">
        <f ca="1">ROUND(IF(项目基本情况!B11="自然人",J5*M17,J18+J19+J20),0)</f>
        <v>178</v>
      </c>
      <c r="K17" s="3181" t="s">
        <v>657</v>
      </c>
      <c r="L17" s="3180" t="s">
        <v>658</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659</v>
      </c>
      <c r="C18" s="53">
        <f ca="1">ROUND(C14*F18,0)</f>
        <v>21</v>
      </c>
      <c r="D18" s="784" t="s">
        <v>648</v>
      </c>
      <c r="E18" s="784" t="s">
        <v>1747</v>
      </c>
      <c r="F18" s="809">
        <f>'数据-取费表'!B36</f>
        <v>1.4999999999999999E-2</v>
      </c>
      <c r="G18" s="1593"/>
      <c r="H18" s="1648" t="s">
        <v>1831</v>
      </c>
      <c r="I18" s="784" t="s">
        <v>1755</v>
      </c>
      <c r="J18" s="53">
        <f ca="1">ROUND(J5*M18/1.05,1)</f>
        <v>0</v>
      </c>
      <c r="K18" s="3180" t="s">
        <v>661</v>
      </c>
      <c r="L18" s="784" t="s">
        <v>1747</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662</v>
      </c>
      <c r="C19" s="53">
        <f ca="1">SUM(C14:C18)</f>
        <v>1579</v>
      </c>
      <c r="D19" s="261" t="s">
        <v>1757</v>
      </c>
      <c r="E19" s="3186"/>
      <c r="F19" s="56"/>
      <c r="G19" s="1592"/>
      <c r="H19" s="1648" t="s">
        <v>1832</v>
      </c>
      <c r="I19" s="784" t="s">
        <v>664</v>
      </c>
      <c r="J19" s="53">
        <f ca="1">IF(K19="按租金收入计税",ROUND(J5*M19,1),ROUND(C29*F33*0.7,1))</f>
        <v>175.7</v>
      </c>
      <c r="K19" s="811" t="s">
        <v>665</v>
      </c>
      <c r="L19" s="784" t="s">
        <v>1747</v>
      </c>
      <c r="M19" s="809">
        <f>IF(K19="按租金收入计税",'数据-取费表'!B51,'数据-取费表'!B50)</f>
        <v>1.2E-2</v>
      </c>
    </row>
    <row r="20" spans="1:33" s="2065" customFormat="1" ht="18" customHeight="1">
      <c r="A20" s="1649" t="s">
        <v>1889</v>
      </c>
      <c r="B20" s="784" t="s">
        <v>666</v>
      </c>
      <c r="C20" s="53">
        <f ca="1">ROUND(C19*F20,0)</f>
        <v>32</v>
      </c>
      <c r="D20" s="812" t="s">
        <v>667</v>
      </c>
      <c r="E20" s="784" t="s">
        <v>1747</v>
      </c>
      <c r="F20" s="809">
        <f>'数据-取费表'!B37</f>
        <v>0.02</v>
      </c>
      <c r="G20" s="1593"/>
      <c r="H20" s="1651" t="s">
        <v>1880</v>
      </c>
      <c r="I20" s="341" t="s">
        <v>1760</v>
      </c>
      <c r="J20" s="54">
        <f ca="1">ROUND(M20*M21/10000,0)</f>
        <v>2</v>
      </c>
      <c r="K20" s="814" t="s">
        <v>669</v>
      </c>
      <c r="L20" s="784" t="s">
        <v>1762</v>
      </c>
      <c r="M20" s="640">
        <f>'数据-取费表'!B52</f>
        <v>12</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671</v>
      </c>
      <c r="C21" s="53" t="s">
        <v>1764</v>
      </c>
      <c r="D21" s="812" t="s">
        <v>2299</v>
      </c>
      <c r="E21" s="784" t="s">
        <v>673</v>
      </c>
      <c r="F21" s="809">
        <f>'数据-取费表'!B38</f>
        <v>0.02</v>
      </c>
      <c r="G21" s="1593"/>
      <c r="H21" s="2507"/>
      <c r="I21" s="793"/>
      <c r="J21" s="69"/>
      <c r="K21" s="816"/>
      <c r="L21" s="784" t="s">
        <v>1766</v>
      </c>
      <c r="M21" s="785">
        <f ca="1">INDIRECT("'数据-取费表'!r"&amp;$G$1)</f>
        <v>1682.73</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73" t="str">
        <f>IF(F23&lt;=1,"单利计息。","复利计息。")&amp;"建造成本、管理费用、销售费用产生的利息。"</f>
        <v>复利计息。建造成本、管理费用、销售费用产生的利息。</v>
      </c>
      <c r="E22" s="3186"/>
      <c r="F22" s="56"/>
      <c r="G22" s="1592"/>
      <c r="H22" s="1649" t="s">
        <v>1889</v>
      </c>
      <c r="I22" s="784" t="s">
        <v>1768</v>
      </c>
      <c r="J22" s="53">
        <f ca="1">ROUND(J14*M22,0)</f>
        <v>31</v>
      </c>
      <c r="K22" s="3180" t="s">
        <v>1769</v>
      </c>
      <c r="L22" s="784" t="s">
        <v>1747</v>
      </c>
      <c r="M22" s="817">
        <f ca="1">INDIRECT("'数据-取费表'!Ak"&amp;$G$1)</f>
        <v>1.4999999999999999E-2</v>
      </c>
    </row>
    <row r="23" spans="1:33" s="2065" customFormat="1" ht="18" customHeight="1">
      <c r="A23" s="1648" t="s">
        <v>1831</v>
      </c>
      <c r="B23" s="784" t="s">
        <v>2535</v>
      </c>
      <c r="C23" s="53">
        <f ca="1">ROUND(IF('数据-取费表'!B22&lt;=1,(C19+C20)*F24*F23/2,(C19+C20)*(POWER((1+F24),F23/2)-1)),0)</f>
        <v>77</v>
      </c>
      <c r="D23" s="2572" t="str">
        <f>IF(F23&lt;=1,"(建造成本+管理费用)×利率×(建设周期÷2)","(建造成本+管理费用)×((1+利率)^(建设周期÷2)-1)")</f>
        <v>(建造成本+管理费用)×((1+利率)^(建设周期÷2)-1)</v>
      </c>
      <c r="E23" s="784" t="s">
        <v>678</v>
      </c>
      <c r="F23" s="640">
        <f>'数据-取费表'!B20</f>
        <v>2</v>
      </c>
      <c r="G23" s="1593"/>
      <c r="H23" s="1649" t="s">
        <v>1890</v>
      </c>
      <c r="I23" s="784" t="s">
        <v>679</v>
      </c>
      <c r="J23" s="53">
        <f ca="1">ROUND(J13*M23,0)</f>
        <v>0</v>
      </c>
      <c r="K23" s="3180" t="s">
        <v>680</v>
      </c>
      <c r="L23" s="784" t="s">
        <v>1747</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1E-3</v>
      </c>
      <c r="D24" s="2572" t="str">
        <f>IF(F23&lt;=1,"销售费用×利率×(建设周期÷2)","销售费用×((1+利率)^(建设周期÷2)-1)")</f>
        <v>销售费用×((1+利率)^(建设周期÷2)-1)</v>
      </c>
      <c r="E24" s="784" t="s">
        <v>682</v>
      </c>
      <c r="F24" s="819">
        <f ca="1">'数据-取费表'!B40</f>
        <v>4.7500000000000001E-2</v>
      </c>
      <c r="G24" s="1593"/>
      <c r="H24" s="2552" t="s">
        <v>1891</v>
      </c>
      <c r="I24" s="2547" t="s">
        <v>666</v>
      </c>
      <c r="J24" s="2545">
        <f ca="1">ROUND(J5*M24,0)</f>
        <v>0</v>
      </c>
      <c r="K24" s="2546" t="s">
        <v>683</v>
      </c>
      <c r="L24" s="2547" t="s">
        <v>1747</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684</v>
      </c>
      <c r="C25" s="53"/>
      <c r="D25" s="261" t="s">
        <v>685</v>
      </c>
      <c r="E25" s="3186"/>
      <c r="F25" s="56"/>
      <c r="G25" s="1592"/>
      <c r="H25" s="1830" t="s">
        <v>1776</v>
      </c>
      <c r="I25" s="3011" t="s">
        <v>2821</v>
      </c>
      <c r="J25" s="792">
        <f ca="1">J5-J16</f>
        <v>-209</v>
      </c>
      <c r="K25" s="2549" t="s">
        <v>700</v>
      </c>
      <c r="L25" s="2550"/>
      <c r="M25" s="2551"/>
    </row>
    <row r="26" spans="1:33" ht="18" customHeight="1">
      <c r="A26" s="1648" t="s">
        <v>1831</v>
      </c>
      <c r="B26" s="784" t="s">
        <v>2438</v>
      </c>
      <c r="C26" s="53">
        <f ca="1">ROUND((C19+C20)*F26,0)</f>
        <v>242</v>
      </c>
      <c r="D26" s="812" t="s">
        <v>701</v>
      </c>
      <c r="E26" s="795" t="s">
        <v>702</v>
      </c>
      <c r="F26" s="794">
        <f ca="1">INDIRECT("'数据-取费表'!q"&amp;$G$1)</f>
        <v>0.15</v>
      </c>
      <c r="G26" s="1592"/>
      <c r="H26" s="2503" t="s">
        <v>1780</v>
      </c>
      <c r="I26" s="2233" t="s">
        <v>2826</v>
      </c>
      <c r="J26" s="783">
        <f ca="1">IF(J5&lt;&gt;0,ROUND(J25*(1-((1+M28)/(1+M26))^M27)/(M26-M28),0),0)</f>
        <v>0</v>
      </c>
      <c r="K26" s="814" t="s">
        <v>1781</v>
      </c>
      <c r="L26" s="784" t="s">
        <v>2419</v>
      </c>
      <c r="M26" s="794">
        <f ca="1">INDIRECT("'数据-取费表'!I"&amp;$G$1)</f>
        <v>5.5E-2</v>
      </c>
    </row>
    <row r="27" spans="1:33" ht="18" customHeight="1">
      <c r="A27" s="1648" t="s">
        <v>1832</v>
      </c>
      <c r="B27" s="784" t="s">
        <v>686</v>
      </c>
      <c r="C27" s="53">
        <f ca="1">ROUND(F21*F26,4)</f>
        <v>3.0000000000000001E-3</v>
      </c>
      <c r="D27" s="812" t="s">
        <v>706</v>
      </c>
      <c r="E27" s="806"/>
      <c r="F27" s="807"/>
      <c r="G27" s="1592"/>
      <c r="H27" s="2504"/>
      <c r="I27" s="787"/>
      <c r="J27" s="788"/>
      <c r="K27" s="821" t="s">
        <v>707</v>
      </c>
      <c r="L27" s="784" t="s">
        <v>708</v>
      </c>
      <c r="M27" s="822">
        <f ca="1">INDIRECT("'数据-取费表'!ag"&amp;$G$1)</f>
        <v>0</v>
      </c>
    </row>
    <row r="28" spans="1:33" s="2065" customFormat="1" ht="18" customHeight="1">
      <c r="A28" s="1650" t="s">
        <v>1841</v>
      </c>
      <c r="B28" s="784" t="s">
        <v>687</v>
      </c>
      <c r="C28" s="53">
        <f>ROUND(F28/(1+'数据-取费表'!C42),4)</f>
        <v>5.33E-2</v>
      </c>
      <c r="D28" s="812" t="s">
        <v>2300</v>
      </c>
      <c r="E28" s="784" t="s">
        <v>649</v>
      </c>
      <c r="F28" s="809">
        <f>'数据-取费表'!B41</f>
        <v>5.6000000000000001E-2</v>
      </c>
      <c r="G28" s="1593"/>
      <c r="H28" s="1830"/>
      <c r="I28" s="791"/>
      <c r="J28" s="792"/>
      <c r="K28" s="816"/>
      <c r="L28" s="784" t="s">
        <v>1786</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1892</v>
      </c>
      <c r="B29" s="2542" t="s">
        <v>2301</v>
      </c>
      <c r="C29" s="2545">
        <f ca="1">ROUND((C19+C20+C23+C26)/(1-F21-C24-C27-C28),0)</f>
        <v>2092</v>
      </c>
      <c r="D29" s="2546"/>
      <c r="E29" s="2547"/>
      <c r="F29" s="2548"/>
      <c r="G29" s="1593"/>
      <c r="H29" s="823" t="s">
        <v>1787</v>
      </c>
      <c r="I29" s="824" t="s">
        <v>1788</v>
      </c>
      <c r="J29" s="825">
        <f ca="1">ROUND(J26/(1+F40)^F41,0)</f>
        <v>0</v>
      </c>
      <c r="K29" s="826" t="s">
        <v>688</v>
      </c>
      <c r="L29" s="827"/>
      <c r="M29" s="828">
        <f ca="1">INDIRECT("'数据-取费表'!k"&amp;$G$1)</f>
        <v>3697</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1748</v>
      </c>
      <c r="B30" s="1828" t="s">
        <v>1749</v>
      </c>
      <c r="C30" s="792">
        <f ca="1">ROUND(C31+C36+C37+C38,0)</f>
        <v>170</v>
      </c>
      <c r="D30" s="1822" t="s">
        <v>1791</v>
      </c>
      <c r="E30" s="3183"/>
      <c r="F30" s="2492"/>
      <c r="G30" s="2063"/>
      <c r="H30" s="2066"/>
      <c r="I30" s="2067"/>
      <c r="J30" s="2068"/>
      <c r="K30" s="2069"/>
      <c r="L30" s="2070"/>
      <c r="M30" s="2071"/>
    </row>
    <row r="31" spans="1:33" ht="18" customHeight="1">
      <c r="A31" s="1649" t="s">
        <v>1824</v>
      </c>
      <c r="B31" s="784" t="s">
        <v>656</v>
      </c>
      <c r="C31" s="53">
        <f ca="1">ROUND(IF(项目基本情况!B11="自然人",C5*F31,C32+C33+C34),1)</f>
        <v>128.5</v>
      </c>
      <c r="D31" s="3181" t="s">
        <v>657</v>
      </c>
      <c r="E31" s="3180" t="s">
        <v>690</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1831</v>
      </c>
      <c r="B32" s="784" t="s">
        <v>1755</v>
      </c>
      <c r="C32" s="53">
        <f ca="1">ROUND(C5*F32/1.05,1)</f>
        <v>38.9</v>
      </c>
      <c r="D32" s="3180" t="s">
        <v>1795</v>
      </c>
      <c r="E32" s="784" t="s">
        <v>649</v>
      </c>
      <c r="F32" s="809">
        <f>'数据-取费表'!B41</f>
        <v>5.6000000000000001E-2</v>
      </c>
      <c r="G32" s="2063"/>
      <c r="H32" s="2072"/>
      <c r="I32" s="2073"/>
      <c r="J32" s="2074"/>
      <c r="K32" s="2075"/>
      <c r="L32" s="2076"/>
      <c r="M32" s="2077"/>
    </row>
    <row r="33" spans="1:18" ht="18" customHeight="1">
      <c r="A33" s="1648" t="s">
        <v>1832</v>
      </c>
      <c r="B33" s="784" t="s">
        <v>1797</v>
      </c>
      <c r="C33" s="53">
        <f ca="1">IF(D33="按租金收入计税",ROUND(C5*F33,1),IF(D33="按房产原值计税",ROUND(C29*F33*0.7,1),INDIRECT("'数据-取费表'!Aj"&amp;$G$1)))</f>
        <v>87.6</v>
      </c>
      <c r="D33" s="811" t="s">
        <v>3417</v>
      </c>
      <c r="E33" s="784" t="s">
        <v>649</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2</v>
      </c>
      <c r="D34" s="814" t="s">
        <v>1799</v>
      </c>
      <c r="E34" s="784" t="s">
        <v>1800</v>
      </c>
      <c r="F34" s="640">
        <f>'数据-取费表'!B52</f>
        <v>12</v>
      </c>
      <c r="G34" s="2063"/>
      <c r="H34" s="2066"/>
      <c r="I34" s="835" t="s">
        <v>1813</v>
      </c>
      <c r="J34" s="836"/>
      <c r="K34" s="2081"/>
      <c r="L34" s="2080"/>
      <c r="M34" s="2080"/>
    </row>
    <row r="35" spans="1:18" ht="18" customHeight="1">
      <c r="A35" s="815"/>
      <c r="B35" s="793"/>
      <c r="C35" s="69"/>
      <c r="D35" s="816"/>
      <c r="E35" s="784" t="s">
        <v>1766</v>
      </c>
      <c r="F35" s="785">
        <f ca="1">INDIRECT("'数据-取费表'!r"&amp;$G$1)</f>
        <v>1682.73</v>
      </c>
      <c r="G35" s="2063"/>
      <c r="H35" s="2066"/>
      <c r="I35" s="837" t="s">
        <v>1814</v>
      </c>
      <c r="J35" s="838">
        <f ca="1">ROUND(C13*J36,0)</f>
        <v>0</v>
      </c>
      <c r="K35" s="2079"/>
      <c r="L35" s="2078"/>
      <c r="M35" s="2078"/>
    </row>
    <row r="36" spans="1:18" ht="18" customHeight="1">
      <c r="A36" s="1649" t="s">
        <v>1889</v>
      </c>
      <c r="B36" s="784" t="s">
        <v>1802</v>
      </c>
      <c r="C36" s="53">
        <f ca="1">ROUND(C29*F36,1)</f>
        <v>31.4</v>
      </c>
      <c r="D36" s="3180" t="s">
        <v>691</v>
      </c>
      <c r="E36" s="784" t="s">
        <v>649</v>
      </c>
      <c r="F36" s="817">
        <f ca="1">INDIRECT("'数据-取费表'!Ak"&amp;$G$1)</f>
        <v>1.4999999999999999E-2</v>
      </c>
      <c r="G36" s="2063"/>
      <c r="H36" s="2078"/>
      <c r="I36" s="839" t="s">
        <v>1815</v>
      </c>
      <c r="J36" s="840">
        <f ca="1">INDIRECT("'数据-取费表'!j"&amp;$G$1)</f>
        <v>0</v>
      </c>
      <c r="K36" s="2083"/>
      <c r="L36" s="2078"/>
      <c r="M36" s="2078"/>
    </row>
    <row r="37" spans="1:18" ht="18" customHeight="1">
      <c r="A37" s="1649" t="s">
        <v>1890</v>
      </c>
      <c r="B37" s="784" t="s">
        <v>679</v>
      </c>
      <c r="C37" s="53">
        <f ca="1">ROUND(C13*F37,1)</f>
        <v>3.1</v>
      </c>
      <c r="D37" s="3180" t="s">
        <v>680</v>
      </c>
      <c r="E37" s="784" t="s">
        <v>649</v>
      </c>
      <c r="F37" s="818">
        <f ca="1">INDIRECT("'数据-取费表'!Al"&amp;$G$1)</f>
        <v>1.5E-3</v>
      </c>
      <c r="G37" s="2063"/>
      <c r="H37" s="2078"/>
      <c r="I37" s="841" t="s">
        <v>1816</v>
      </c>
      <c r="J37" s="842"/>
      <c r="K37" s="2083"/>
      <c r="L37" s="2078"/>
      <c r="M37" s="2078"/>
    </row>
    <row r="38" spans="1:18" ht="18" customHeight="1" thickBot="1">
      <c r="A38" s="2552" t="s">
        <v>1891</v>
      </c>
      <c r="B38" s="2547" t="s">
        <v>666</v>
      </c>
      <c r="C38" s="2545">
        <f ca="1">ROUND(C5*F38,1)</f>
        <v>7.3</v>
      </c>
      <c r="D38" s="2546" t="s">
        <v>683</v>
      </c>
      <c r="E38" s="2547" t="s">
        <v>649</v>
      </c>
      <c r="F38" s="2543">
        <f ca="1">INDIRECT("'数据-取费表'!Am"&amp;$G$1)</f>
        <v>0.01</v>
      </c>
      <c r="G38" s="2063"/>
      <c r="H38" s="2078"/>
      <c r="I38" s="843" t="s">
        <v>1817</v>
      </c>
      <c r="J38" s="844"/>
      <c r="K38" s="2084"/>
      <c r="L38" s="2078"/>
      <c r="M38" s="2078"/>
    </row>
    <row r="39" spans="1:18" ht="24.6" customHeight="1" thickTop="1">
      <c r="A39" s="1830" t="s">
        <v>1894</v>
      </c>
      <c r="B39" s="3011" t="s">
        <v>2821</v>
      </c>
      <c r="C39" s="792">
        <f ca="1">C5-C30</f>
        <v>560</v>
      </c>
      <c r="D39" s="2549" t="s">
        <v>1806</v>
      </c>
      <c r="E39" s="2550"/>
      <c r="F39" s="2551"/>
      <c r="G39" s="2063"/>
      <c r="H39" s="2078"/>
      <c r="I39" s="837" t="s">
        <v>1818</v>
      </c>
      <c r="J39" s="845">
        <f ca="1">ROUND(J35/C39,3)</f>
        <v>0</v>
      </c>
      <c r="K39" s="2084"/>
      <c r="L39" s="2078"/>
      <c r="M39" s="2078"/>
    </row>
    <row r="40" spans="1:18" ht="18" customHeight="1">
      <c r="A40" s="781" t="s">
        <v>1780</v>
      </c>
      <c r="B40" s="2233" t="s">
        <v>2302</v>
      </c>
      <c r="C40" s="783">
        <f ca="1">ROUND(C39*(1-((1+F42)/(1+F40))^F41)/(F40-F42),0)</f>
        <v>13083</v>
      </c>
      <c r="D40" s="814" t="s">
        <v>704</v>
      </c>
      <c r="E40" s="784" t="s">
        <v>2419</v>
      </c>
      <c r="F40" s="794">
        <f ca="1">INDIRECT("'数据-取费表'!I"&amp;$G$1)</f>
        <v>5.5E-2</v>
      </c>
      <c r="G40" s="2063"/>
      <c r="H40" s="2063"/>
      <c r="I40" s="837" t="s">
        <v>1819</v>
      </c>
      <c r="J40" s="845">
        <f ca="1">1-J39</f>
        <v>1</v>
      </c>
      <c r="K40" s="2084"/>
      <c r="L40" s="2063"/>
      <c r="M40" s="2063"/>
    </row>
    <row r="41" spans="1:18" ht="18" customHeight="1">
      <c r="A41" s="786"/>
      <c r="B41" s="787"/>
      <c r="C41" s="788"/>
      <c r="D41" s="821" t="s">
        <v>1808</v>
      </c>
      <c r="E41" s="784" t="s">
        <v>2958</v>
      </c>
      <c r="F41" s="822">
        <f ca="1">IF(INDIRECT("'数据-取费表'!af"&amp;$G$1)=0,INDIRECT("'数据-取费表'!ae"&amp;$G$1),INDIRECT("'数据-取费表'!af"&amp;$G$1))</f>
        <v>36.58</v>
      </c>
      <c r="G41" s="2063"/>
      <c r="H41" s="1989"/>
      <c r="I41" s="843" t="s">
        <v>1820</v>
      </c>
      <c r="J41" s="846"/>
      <c r="K41" s="2083"/>
      <c r="L41" s="1989"/>
      <c r="M41" s="1989"/>
    </row>
    <row r="42" spans="1:18" ht="18" customHeight="1">
      <c r="A42" s="790"/>
      <c r="B42" s="791"/>
      <c r="C42" s="792"/>
      <c r="D42" s="816"/>
      <c r="E42" s="784" t="s">
        <v>1809</v>
      </c>
      <c r="F42" s="794">
        <f ca="1">INDIRECT("'数据-取费表'!v"&amp;$G$1)</f>
        <v>0.03</v>
      </c>
      <c r="G42" s="2063"/>
      <c r="H42" s="1989"/>
      <c r="I42" s="847" t="s">
        <v>1821</v>
      </c>
      <c r="J42" s="845">
        <f ca="1">ROUND(C13/C40,3)</f>
        <v>0.16</v>
      </c>
      <c r="K42" s="2083"/>
      <c r="L42" s="1989"/>
      <c r="M42" s="1989"/>
    </row>
    <row r="43" spans="1:18" ht="18" customHeight="1" thickBot="1">
      <c r="A43" s="823" t="s">
        <v>1787</v>
      </c>
      <c r="B43" s="824" t="s">
        <v>1810</v>
      </c>
      <c r="C43" s="825">
        <f ca="1">ROUND(C40*10000/F43,0)</f>
        <v>35388</v>
      </c>
      <c r="D43" s="826" t="s">
        <v>1811</v>
      </c>
      <c r="E43" s="827" t="s">
        <v>1812</v>
      </c>
      <c r="F43" s="828">
        <f ca="1">INDIRECT("'数据-取费表'!k"&amp;$G$1)</f>
        <v>3697</v>
      </c>
      <c r="G43" s="2063"/>
      <c r="H43" s="1989"/>
      <c r="I43" s="847" t="s">
        <v>1822</v>
      </c>
      <c r="J43" s="848">
        <f ca="1">1-J42</f>
        <v>0.84</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75">
        <f ca="1">C67-C40</f>
        <v>-13661</v>
      </c>
      <c r="D46" s="2086"/>
      <c r="E46" s="2086"/>
      <c r="F46" s="2086"/>
      <c r="I46" s="2379" t="s">
        <v>2343</v>
      </c>
      <c r="J46" s="2380"/>
      <c r="K46" s="2381"/>
      <c r="L46" s="3162">
        <f>IF(OR(M47="住宅",D1="土地（套用方法）"),0,IF(L48&gt;J51,L60,J60))</f>
        <v>0</v>
      </c>
      <c r="O46" s="2395" t="s">
        <v>2410</v>
      </c>
      <c r="P46" s="1592"/>
      <c r="Q46" s="1604"/>
      <c r="R46" s="1592"/>
    </row>
    <row r="47" spans="1:18" s="2060" customFormat="1" ht="18" customHeight="1" thickBot="1">
      <c r="A47" s="2373">
        <v>1</v>
      </c>
      <c r="B47" s="2374" t="s">
        <v>635</v>
      </c>
      <c r="C47" s="2575">
        <f ca="1">C48+C52+C54</f>
        <v>0</v>
      </c>
      <c r="D47" s="2086"/>
      <c r="E47" s="2086"/>
      <c r="F47" s="2086"/>
      <c r="I47" s="3152" t="s">
        <v>2344</v>
      </c>
      <c r="J47" s="2382" t="s">
        <v>3418</v>
      </c>
      <c r="K47" s="3159" t="s">
        <v>2349</v>
      </c>
      <c r="L47" s="3163">
        <f ca="1">INDIRECT("'数据-取费表'!d"&amp;$G$1)</f>
        <v>40</v>
      </c>
      <c r="M47" s="1604" t="str">
        <f>IF(ISNUMBER(FIND("住宅",C1)),"住宅","非住宅")</f>
        <v>非住宅</v>
      </c>
      <c r="O47" s="2396" t="s">
        <v>2375</v>
      </c>
      <c r="P47" s="2397" t="s">
        <v>2376</v>
      </c>
      <c r="Q47" s="2398" t="s">
        <v>2377</v>
      </c>
      <c r="R47" s="2397" t="s">
        <v>2378</v>
      </c>
    </row>
    <row r="48" spans="1:18" s="2060" customFormat="1" ht="18" customHeight="1" thickBot="1">
      <c r="A48" s="2643" t="s">
        <v>2537</v>
      </c>
      <c r="B48" s="2644" t="s">
        <v>2538</v>
      </c>
      <c r="C48" s="2375">
        <f ca="1">ROUND(F48*F50*F49*(1-F51)/10000,0)</f>
        <v>0</v>
      </c>
      <c r="D48" s="2376" t="s">
        <v>636</v>
      </c>
      <c r="E48" s="2377" t="s">
        <v>2297</v>
      </c>
      <c r="F48" s="2378"/>
      <c r="G48" s="2091"/>
      <c r="I48" s="3128" t="s">
        <v>2345</v>
      </c>
      <c r="J48" s="2383" t="s">
        <v>2350</v>
      </c>
      <c r="K48" s="3160" t="s">
        <v>2351</v>
      </c>
      <c r="L48" s="1909">
        <f ca="1">INDIRECT("'数据-取费表'!f"&amp;$G$1)</f>
        <v>38.58</v>
      </c>
      <c r="O48" s="2399" t="s">
        <v>2379</v>
      </c>
      <c r="P48" s="2400" t="s">
        <v>2405</v>
      </c>
      <c r="Q48" s="2401">
        <f ca="1">C40+J29</f>
        <v>13083</v>
      </c>
      <c r="R48" s="2400" t="s">
        <v>2380</v>
      </c>
    </row>
    <row r="49" spans="1:18" s="2060" customFormat="1" ht="18" customHeight="1" thickBot="1">
      <c r="A49" s="786"/>
      <c r="B49" s="787"/>
      <c r="C49" s="788"/>
      <c r="D49" s="789"/>
      <c r="E49" s="784" t="s">
        <v>638</v>
      </c>
      <c r="F49" s="785">
        <f ca="1">F7</f>
        <v>3697</v>
      </c>
      <c r="G49" s="2091"/>
      <c r="H49" s="2094"/>
      <c r="I49" s="3128" t="s">
        <v>2346</v>
      </c>
      <c r="J49" s="2384">
        <v>2020</v>
      </c>
      <c r="K49" s="3161" t="s">
        <v>2352</v>
      </c>
      <c r="L49" s="2385"/>
      <c r="O49" s="2399" t="s">
        <v>2381</v>
      </c>
      <c r="P49" s="2400" t="s">
        <v>2406</v>
      </c>
      <c r="Q49" s="2401">
        <f ca="1">J60</f>
        <v>837</v>
      </c>
      <c r="R49" s="2400" t="s">
        <v>2382</v>
      </c>
    </row>
    <row r="50" spans="1:18" s="2060" customFormat="1" ht="18" customHeight="1" thickBot="1">
      <c r="A50" s="786"/>
      <c r="B50" s="787"/>
      <c r="C50" s="788"/>
      <c r="D50" s="789"/>
      <c r="E50" s="784" t="s">
        <v>639</v>
      </c>
      <c r="F50" s="785">
        <f ca="1">F8</f>
        <v>365</v>
      </c>
      <c r="G50" s="2096"/>
      <c r="H50" s="2094"/>
      <c r="I50" s="3128" t="s">
        <v>2347</v>
      </c>
      <c r="J50" s="3156">
        <f>SUMPRODUCT((I63:I65=J47)*(J62:L62=J48)*(J63:L65))</f>
        <v>60</v>
      </c>
      <c r="K50" s="3161" t="s">
        <v>2353</v>
      </c>
      <c r="L50" s="2385"/>
      <c r="O50" s="2402" t="s">
        <v>2383</v>
      </c>
      <c r="P50" s="2400" t="s">
        <v>2407</v>
      </c>
      <c r="Q50" s="2401">
        <f ca="1">C29</f>
        <v>2092</v>
      </c>
      <c r="R50" s="2400" t="s">
        <v>2380</v>
      </c>
    </row>
    <row r="51" spans="1:18" s="2060" customFormat="1" ht="18" customHeight="1" thickBot="1">
      <c r="A51" s="786"/>
      <c r="B51" s="787"/>
      <c r="C51" s="788"/>
      <c r="D51" s="789"/>
      <c r="E51" s="784" t="s">
        <v>640</v>
      </c>
      <c r="F51" s="2372"/>
      <c r="H51" s="2094"/>
      <c r="I51" s="3153" t="s">
        <v>2348</v>
      </c>
      <c r="J51" s="3157">
        <f>IF(J49="",J50,J49+J50-YEAR('数据-取费表'!B2))</f>
        <v>62</v>
      </c>
      <c r="K51" s="3128" t="s">
        <v>2354</v>
      </c>
      <c r="L51" s="3164">
        <f ca="1">ROUND(-PV(INDIRECT("'数据-取费表'!h"&amp;$G$1),L48,(C39-C13*J36),0),0)</f>
        <v>9495</v>
      </c>
      <c r="O51" s="2402" t="s">
        <v>2384</v>
      </c>
      <c r="P51" s="2400" t="s">
        <v>2385</v>
      </c>
      <c r="Q51" s="2403">
        <f ca="1">J58</f>
        <v>0.4</v>
      </c>
      <c r="R51" s="2404"/>
    </row>
    <row r="52" spans="1:18" s="2060" customFormat="1" ht="18" customHeight="1" thickBot="1">
      <c r="A52" s="781" t="s">
        <v>2536</v>
      </c>
      <c r="B52" s="2495" t="s">
        <v>2459</v>
      </c>
      <c r="C52" s="799">
        <f ca="1">ROUND(IF(F52="押一",C48/12*F11,IF(F52="押二",C48/12*2*F11,IF(F52="押三",C48/12*3*F11,C53*F11))),0)</f>
        <v>0</v>
      </c>
      <c r="D52" s="2502" t="s">
        <v>2969</v>
      </c>
      <c r="E52" s="2499" t="s">
        <v>2464</v>
      </c>
      <c r="F52" s="2622"/>
      <c r="I52" s="3154" t="s">
        <v>2421</v>
      </c>
      <c r="J52" s="2386"/>
      <c r="K52" s="3154" t="s">
        <v>2420</v>
      </c>
      <c r="L52" s="2386"/>
      <c r="O52" s="2402" t="s">
        <v>2386</v>
      </c>
      <c r="P52" s="2400" t="s">
        <v>2387</v>
      </c>
      <c r="Q52" s="2403">
        <f>J52</f>
        <v>0</v>
      </c>
      <c r="R52" s="2404"/>
    </row>
    <row r="53" spans="1:18" s="2060" customFormat="1" ht="39.75" customHeight="1" thickBot="1">
      <c r="A53" s="786"/>
      <c r="B53" s="2496" t="s">
        <v>2573</v>
      </c>
      <c r="C53" s="2500"/>
      <c r="D53" s="2502"/>
      <c r="E53" s="2499"/>
      <c r="F53" s="800"/>
      <c r="I53" s="3155" t="s">
        <v>2973</v>
      </c>
      <c r="J53" s="3158">
        <f ca="1">IF(M47="住宅",IF(D1="——",MAX(J51,L48),MAX(J51,L48-'数据-取费表'!B20)),IF(D1="——",MIN(J51,L48),MIN(J51,L48-'数据-取费表'!B20)))</f>
        <v>36.58</v>
      </c>
      <c r="K53" s="3466" t="s">
        <v>2960</v>
      </c>
      <c r="L53" s="3467"/>
      <c r="O53" s="2402" t="s">
        <v>2388</v>
      </c>
      <c r="P53" s="2400" t="s">
        <v>2389</v>
      </c>
      <c r="Q53" s="2401">
        <f ca="1">J53</f>
        <v>36.58</v>
      </c>
      <c r="R53" s="2400" t="s">
        <v>2390</v>
      </c>
    </row>
    <row r="54" spans="1:18" s="2060" customFormat="1" ht="18" customHeight="1" thickBot="1">
      <c r="A54" s="2538" t="s">
        <v>2467</v>
      </c>
      <c r="B54" s="2539" t="s">
        <v>2460</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2391</v>
      </c>
      <c r="P54" s="2400" t="s">
        <v>2408</v>
      </c>
      <c r="Q54" s="2401">
        <f ca="1">Q48+Q49</f>
        <v>13920</v>
      </c>
      <c r="R54" s="2404" t="s">
        <v>2392</v>
      </c>
    </row>
    <row r="55" spans="1:18" s="2060" customFormat="1" ht="18" customHeight="1" thickTop="1" thickBot="1">
      <c r="A55" s="797">
        <v>2</v>
      </c>
      <c r="B55" s="798" t="s">
        <v>644</v>
      </c>
      <c r="C55" s="799">
        <f ca="1">C13</f>
        <v>2092</v>
      </c>
      <c r="D55" s="795"/>
      <c r="E55" s="795"/>
      <c r="F55" s="800"/>
      <c r="I55" s="3167" t="s">
        <v>2355</v>
      </c>
      <c r="J55" s="3103">
        <f ca="1">ROUND(IF(J47="钢混",J57/J50,1-(1-2%)*(J50-J57)/J50),3)</f>
        <v>0.39</v>
      </c>
      <c r="K55" s="3168" t="s">
        <v>2356</v>
      </c>
      <c r="L55" s="2387"/>
      <c r="O55" s="2405" t="s">
        <v>2411</v>
      </c>
      <c r="P55" s="1592"/>
      <c r="Q55" s="1604"/>
      <c r="R55" s="1592"/>
    </row>
    <row r="56" spans="1:18" s="2060" customFormat="1" ht="42.75" customHeight="1" thickBot="1">
      <c r="A56" s="1650"/>
      <c r="B56" s="2232" t="s">
        <v>2303</v>
      </c>
      <c r="C56" s="53">
        <f ca="1">C29</f>
        <v>2092</v>
      </c>
      <c r="D56" s="3180"/>
      <c r="E56" s="784"/>
      <c r="F56" s="809"/>
      <c r="I56" s="3169" t="s">
        <v>2357</v>
      </c>
      <c r="J56" s="3179" t="s">
        <v>2994</v>
      </c>
      <c r="K56" s="3128" t="s">
        <v>2362</v>
      </c>
      <c r="L56" s="1909" t="str">
        <f ca="1">IF(L48&lt;J51,"——",L48-J51)</f>
        <v>——</v>
      </c>
      <c r="O56" s="2396" t="s">
        <v>2375</v>
      </c>
      <c r="P56" s="2397" t="s">
        <v>2376</v>
      </c>
      <c r="Q56" s="2398" t="s">
        <v>2377</v>
      </c>
      <c r="R56" s="2397" t="s">
        <v>2378</v>
      </c>
    </row>
    <row r="57" spans="1:18" s="2060" customFormat="1" ht="28.5" customHeight="1" thickBot="1">
      <c r="A57" s="797" t="s">
        <v>1748</v>
      </c>
      <c r="B57" s="798" t="s">
        <v>651</v>
      </c>
      <c r="C57" s="799">
        <f ca="1">ROUND(C58+C63+C64+C65,0)</f>
        <v>37</v>
      </c>
      <c r="D57" s="26" t="s">
        <v>1750</v>
      </c>
      <c r="E57" s="3186"/>
      <c r="F57" s="56"/>
      <c r="I57" s="3170" t="s">
        <v>2358</v>
      </c>
      <c r="J57" s="3171">
        <f ca="1">IF(OR(M47="住宅",J51&lt;L48,J56="是"),"——",J51-L48)</f>
        <v>23.42</v>
      </c>
      <c r="K57" s="3128" t="s">
        <v>2363</v>
      </c>
      <c r="L57" s="1909" t="str">
        <f ca="1">IF(L48&lt;J51,"——",IF(L55="比较法",L49,IF(L55="基准地价",L50,L51)))</f>
        <v>——</v>
      </c>
      <c r="O57" s="2399" t="s">
        <v>2379</v>
      </c>
      <c r="P57" s="2400" t="s">
        <v>2409</v>
      </c>
      <c r="Q57" s="2401">
        <f ca="1">C40+J29</f>
        <v>13083</v>
      </c>
      <c r="R57" s="2400" t="s">
        <v>2380</v>
      </c>
    </row>
    <row r="58" spans="1:18" s="2060" customFormat="1" ht="28.5" customHeight="1" thickBot="1">
      <c r="A58" s="1649" t="s">
        <v>1824</v>
      </c>
      <c r="B58" s="784" t="s">
        <v>656</v>
      </c>
      <c r="C58" s="53">
        <f ca="1">ROUND(IF(项目基本情况!B11="自然人",C47*F58,C59+C60+C61),1)</f>
        <v>2</v>
      </c>
      <c r="D58" s="3181" t="s">
        <v>657</v>
      </c>
      <c r="E58" s="3180" t="s">
        <v>690</v>
      </c>
      <c r="F58" s="810" t="str">
        <f ca="1">IF(项目基本情况!B11="企业","",IF(INDIRECT("'数据-取费表'!c"&amp;$G$1)="住宅",5%,IF(F48*F49*F50/12/(1+'数据-取费表'!C42)&gt;20000,12%,7%)))</f>
        <v/>
      </c>
      <c r="I58" s="3170" t="s">
        <v>2359</v>
      </c>
      <c r="J58" s="3104">
        <f ca="1">IF(J55&lt;0.4,0.4,J55)</f>
        <v>0.4</v>
      </c>
      <c r="K58" s="3128" t="s">
        <v>2364</v>
      </c>
      <c r="L58" s="1909" t="e">
        <f ca="1">ROUND(POWER(1+L52,L47-L48)*(POWER(1+L52,L48)-1)/(POWER(1+L52,L47)-1),4)</f>
        <v>#DIV/0!</v>
      </c>
      <c r="O58" s="2399" t="s">
        <v>2381</v>
      </c>
      <c r="P58" s="2400" t="s">
        <v>2412</v>
      </c>
      <c r="Q58" s="2401">
        <f ca="1">L60</f>
        <v>0</v>
      </c>
      <c r="R58" s="2404" t="s">
        <v>2414</v>
      </c>
    </row>
    <row r="59" spans="1:18" s="2060" customFormat="1" ht="28.5" customHeight="1" thickBot="1">
      <c r="A59" s="1648" t="s">
        <v>1831</v>
      </c>
      <c r="B59" s="784" t="s">
        <v>660</v>
      </c>
      <c r="C59" s="53">
        <f ca="1">ROUND(C47*F59/1.05,1)</f>
        <v>0</v>
      </c>
      <c r="D59" s="3180" t="s">
        <v>661</v>
      </c>
      <c r="E59" s="784" t="s">
        <v>1747</v>
      </c>
      <c r="F59" s="809">
        <f t="shared" ref="F59:F65" si="0">F32</f>
        <v>5.6000000000000001E-2</v>
      </c>
      <c r="I59" s="3170" t="s">
        <v>2360</v>
      </c>
      <c r="J59" s="3171">
        <f ca="1">IF(OR(M47="住宅",J51&lt;L48,J56="是"),"——",ROUND(C29*J58,0))</f>
        <v>837</v>
      </c>
      <c r="K59" s="3128"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2383</v>
      </c>
      <c r="P59" s="2400" t="s">
        <v>2413</v>
      </c>
      <c r="Q59" s="2401">
        <f>IF(L55="比较法",L49,IF(L55="基准地价",L50,0))</f>
        <v>0</v>
      </c>
      <c r="R59" s="2400" t="s">
        <v>2380</v>
      </c>
    </row>
    <row r="60" spans="1:18" s="2060" customFormat="1" ht="18" customHeight="1" thickBot="1">
      <c r="A60" s="1648" t="s">
        <v>1832</v>
      </c>
      <c r="B60" s="784" t="s">
        <v>664</v>
      </c>
      <c r="C60" s="53">
        <f ca="1">IF(D60="按租金收入计税",ROUND(C47*F60,1),IF(D60="按房产原值计税",ROUND(C56*F60*0.7,1),INDIRECT("'数据-取费表'!Aj"&amp;$G$1)))</f>
        <v>0</v>
      </c>
      <c r="D60" s="3180" t="str">
        <f>D33</f>
        <v>按租金收入计税</v>
      </c>
      <c r="E60" s="784" t="s">
        <v>1747</v>
      </c>
      <c r="F60" s="809">
        <f t="shared" si="0"/>
        <v>0.12</v>
      </c>
      <c r="I60" s="3172" t="s">
        <v>2361</v>
      </c>
      <c r="J60" s="3173">
        <f ca="1">IF(OR(M47="住宅",J51&lt;L48,J56="是"),"0",ROUND(J59/(1+J52)^J53,0))</f>
        <v>837</v>
      </c>
      <c r="K60" s="3174" t="s">
        <v>2366</v>
      </c>
      <c r="L60" s="3173">
        <f ca="1">IF(OR(M47="住宅",L48&lt;J51),0,ROUND(L57*(L58/L59-1),0))</f>
        <v>0</v>
      </c>
      <c r="O60" s="2402" t="s">
        <v>2384</v>
      </c>
      <c r="P60" s="2400" t="s">
        <v>2393</v>
      </c>
      <c r="Q60" s="2403">
        <f>L52</f>
        <v>0</v>
      </c>
      <c r="R60" s="2404"/>
    </row>
    <row r="61" spans="1:18" s="2060" customFormat="1" ht="18" customHeight="1" thickBot="1">
      <c r="A61" s="1651" t="s">
        <v>1833</v>
      </c>
      <c r="B61" s="341" t="s">
        <v>668</v>
      </c>
      <c r="C61" s="54">
        <f ca="1">ROUND(F61*F62/10000,1)</f>
        <v>2</v>
      </c>
      <c r="D61" s="814" t="s">
        <v>669</v>
      </c>
      <c r="E61" s="784" t="s">
        <v>670</v>
      </c>
      <c r="F61" s="640">
        <f t="shared" si="0"/>
        <v>12</v>
      </c>
      <c r="K61" s="2087"/>
      <c r="O61" s="2402" t="s">
        <v>2386</v>
      </c>
      <c r="P61" s="2400" t="s">
        <v>2394</v>
      </c>
      <c r="Q61" s="2401" t="e">
        <f ca="1">L58</f>
        <v>#DIV/0!</v>
      </c>
      <c r="R61" s="2404" t="s">
        <v>2395</v>
      </c>
    </row>
    <row r="62" spans="1:18" s="2060" customFormat="1" ht="15.75" thickBot="1">
      <c r="A62" s="815"/>
      <c r="B62" s="793"/>
      <c r="C62" s="69"/>
      <c r="D62" s="816"/>
      <c r="E62" s="784" t="s">
        <v>674</v>
      </c>
      <c r="F62" s="785">
        <f t="shared" ca="1" si="0"/>
        <v>1682.73</v>
      </c>
      <c r="I62" s="3175" t="s">
        <v>2367</v>
      </c>
      <c r="J62" s="3176" t="s">
        <v>2368</v>
      </c>
      <c r="K62" s="3176" t="s">
        <v>2369</v>
      </c>
      <c r="L62" s="3176" t="s">
        <v>2350</v>
      </c>
      <c r="M62" s="3177" t="s">
        <v>2936</v>
      </c>
      <c r="O62" s="2402" t="s">
        <v>2388</v>
      </c>
      <c r="P62" s="2400" t="str">
        <f>K59</f>
        <v>建设期及建筑物耐用年限下的土地年期修正系数Kn</v>
      </c>
      <c r="Q62" s="2401" t="e">
        <f ca="1">L59</f>
        <v>#DIV/0!</v>
      </c>
      <c r="R62" s="2404" t="s">
        <v>2397</v>
      </c>
    </row>
    <row r="63" spans="1:18" s="2060" customFormat="1" ht="15.75" thickBot="1">
      <c r="A63" s="1649" t="s">
        <v>1889</v>
      </c>
      <c r="B63" s="784" t="s">
        <v>676</v>
      </c>
      <c r="C63" s="53">
        <f ca="1">ROUND(C56*F63,1)</f>
        <v>31.4</v>
      </c>
      <c r="D63" s="3180" t="s">
        <v>691</v>
      </c>
      <c r="E63" s="784" t="s">
        <v>1747</v>
      </c>
      <c r="F63" s="817">
        <f t="shared" ca="1" si="0"/>
        <v>1.4999999999999999E-2</v>
      </c>
      <c r="I63" s="3175" t="s">
        <v>2370</v>
      </c>
      <c r="J63" s="3176">
        <v>70</v>
      </c>
      <c r="K63" s="3176">
        <v>50</v>
      </c>
      <c r="L63" s="3176">
        <v>80</v>
      </c>
      <c r="M63" s="3178">
        <v>0.02</v>
      </c>
      <c r="O63" s="2399" t="s">
        <v>2391</v>
      </c>
      <c r="P63" s="2400" t="s">
        <v>2408</v>
      </c>
      <c r="Q63" s="2401">
        <f ca="1">Q57+Q58</f>
        <v>13083</v>
      </c>
      <c r="R63" s="2404" t="s">
        <v>2392</v>
      </c>
    </row>
    <row r="64" spans="1:18" s="2060" customFormat="1" ht="16.5" thickBot="1">
      <c r="A64" s="1649" t="s">
        <v>1890</v>
      </c>
      <c r="B64" s="784" t="s">
        <v>679</v>
      </c>
      <c r="C64" s="53">
        <f ca="1">ROUND(C55*F64,1)</f>
        <v>3.1</v>
      </c>
      <c r="D64" s="3180" t="s">
        <v>680</v>
      </c>
      <c r="E64" s="784" t="s">
        <v>1747</v>
      </c>
      <c r="F64" s="818">
        <f t="shared" ca="1" si="0"/>
        <v>1.5E-3</v>
      </c>
      <c r="I64" s="3175" t="s">
        <v>2371</v>
      </c>
      <c r="J64" s="3176">
        <v>50</v>
      </c>
      <c r="K64" s="3176">
        <v>35</v>
      </c>
      <c r="L64" s="3176">
        <v>60</v>
      </c>
      <c r="M64" s="846">
        <v>0</v>
      </c>
      <c r="O64" s="2405" t="s">
        <v>2415</v>
      </c>
      <c r="P64" s="1592"/>
      <c r="Q64" s="1604"/>
      <c r="R64" s="1592"/>
    </row>
    <row r="65" spans="1:18" s="2060" customFormat="1" ht="15.75" thickBot="1">
      <c r="A65" s="1649" t="s">
        <v>1891</v>
      </c>
      <c r="B65" s="784" t="s">
        <v>666</v>
      </c>
      <c r="C65" s="53">
        <f ca="1">ROUND(C47*F65,1)</f>
        <v>0</v>
      </c>
      <c r="D65" s="3180" t="s">
        <v>683</v>
      </c>
      <c r="E65" s="784" t="s">
        <v>1747</v>
      </c>
      <c r="F65" s="794">
        <f t="shared" ca="1" si="0"/>
        <v>0.01</v>
      </c>
      <c r="I65" s="3175" t="s">
        <v>2372</v>
      </c>
      <c r="J65" s="3176">
        <v>40</v>
      </c>
      <c r="K65" s="3176">
        <v>30</v>
      </c>
      <c r="L65" s="3176">
        <v>50</v>
      </c>
      <c r="M65" s="3178">
        <v>0.02</v>
      </c>
      <c r="O65" s="2396" t="s">
        <v>2375</v>
      </c>
      <c r="P65" s="2397" t="s">
        <v>2376</v>
      </c>
      <c r="Q65" s="2398" t="s">
        <v>2377</v>
      </c>
      <c r="R65" s="2397" t="s">
        <v>2378</v>
      </c>
    </row>
    <row r="66" spans="1:18" s="2060" customFormat="1" ht="24.75" thickBot="1">
      <c r="A66" s="797" t="s">
        <v>1776</v>
      </c>
      <c r="B66" s="3012" t="s">
        <v>2821</v>
      </c>
      <c r="C66" s="799">
        <f ca="1">C47-C57</f>
        <v>-37</v>
      </c>
      <c r="D66" s="3181" t="s">
        <v>700</v>
      </c>
      <c r="E66" s="3185"/>
      <c r="F66" s="820"/>
      <c r="K66" s="2087"/>
      <c r="O66" s="2399" t="s">
        <v>2379</v>
      </c>
      <c r="P66" s="2400" t="s">
        <v>2409</v>
      </c>
      <c r="Q66" s="2401">
        <f ca="1">C40+J29</f>
        <v>13083</v>
      </c>
      <c r="R66" s="2400" t="s">
        <v>2380</v>
      </c>
    </row>
    <row r="67" spans="1:18" s="2060" customFormat="1" ht="20.25" thickBot="1">
      <c r="A67" s="781" t="s">
        <v>1780</v>
      </c>
      <c r="B67" s="2233" t="s">
        <v>2302</v>
      </c>
      <c r="C67" s="783">
        <f ca="1">ROUND(C66*(1-((1+F69)/(1+F67))^F68)/(F67-F69),0)</f>
        <v>-578</v>
      </c>
      <c r="D67" s="814" t="s">
        <v>704</v>
      </c>
      <c r="E67" s="784" t="s">
        <v>705</v>
      </c>
      <c r="F67" s="794">
        <f ca="1">F40</f>
        <v>5.5E-2</v>
      </c>
      <c r="K67" s="2087"/>
      <c r="O67" s="2399" t="s">
        <v>2381</v>
      </c>
      <c r="P67" s="2400" t="s">
        <v>2412</v>
      </c>
      <c r="Q67" s="2401">
        <f ca="1">L60</f>
        <v>0</v>
      </c>
      <c r="R67" s="2404" t="s">
        <v>2414</v>
      </c>
    </row>
    <row r="68" spans="1:18" ht="21.75" thickBot="1">
      <c r="A68" s="786"/>
      <c r="B68" s="787"/>
      <c r="C68" s="788"/>
      <c r="D68" s="821" t="s">
        <v>1808</v>
      </c>
      <c r="E68" s="784" t="s">
        <v>708</v>
      </c>
      <c r="F68" s="822">
        <f ca="1">F41</f>
        <v>36.58</v>
      </c>
      <c r="O68" s="2402" t="s">
        <v>2383</v>
      </c>
      <c r="P68" s="2400" t="s">
        <v>2413</v>
      </c>
      <c r="Q68" s="2406">
        <f ca="1">L51</f>
        <v>9495</v>
      </c>
      <c r="R68" s="2407" t="s">
        <v>2416</v>
      </c>
    </row>
    <row r="69" spans="1:18" ht="20.25" thickBot="1">
      <c r="A69" s="790"/>
      <c r="B69" s="791"/>
      <c r="C69" s="792"/>
      <c r="D69" s="816"/>
      <c r="E69" s="784" t="s">
        <v>710</v>
      </c>
      <c r="F69" s="2372"/>
      <c r="O69" s="2402" t="s">
        <v>2384</v>
      </c>
      <c r="P69" s="2408" t="s">
        <v>2398</v>
      </c>
      <c r="Q69" s="2401">
        <f ca="1">ROUND(Q70-Q71*Q72,0)</f>
        <v>560</v>
      </c>
      <c r="R69" s="2404"/>
    </row>
    <row r="70" spans="1:18" ht="15.75" thickBot="1">
      <c r="A70" s="823" t="s">
        <v>1787</v>
      </c>
      <c r="B70" s="824" t="s">
        <v>1810</v>
      </c>
      <c r="C70" s="825">
        <f ca="1">ROUND(C67*10000/F70,0)</f>
        <v>-1563</v>
      </c>
      <c r="D70" s="826" t="s">
        <v>1811</v>
      </c>
      <c r="E70" s="827" t="s">
        <v>1812</v>
      </c>
      <c r="F70" s="828">
        <f ca="1">F43</f>
        <v>3697</v>
      </c>
      <c r="O70" s="2402" t="s">
        <v>2399</v>
      </c>
      <c r="P70" s="2408" t="s">
        <v>2400</v>
      </c>
      <c r="Q70" s="2401">
        <f ca="1">C39</f>
        <v>560</v>
      </c>
      <c r="R70" s="2400" t="s">
        <v>2380</v>
      </c>
    </row>
    <row r="71" spans="1:18" ht="15.75" thickBot="1">
      <c r="O71" s="2402" t="s">
        <v>2401</v>
      </c>
      <c r="P71" s="2408" t="s">
        <v>2402</v>
      </c>
      <c r="Q71" s="2401">
        <f ca="1">C13</f>
        <v>2092</v>
      </c>
      <c r="R71" s="2400" t="s">
        <v>2380</v>
      </c>
    </row>
    <row r="72" spans="1:18" ht="15.75" thickBot="1">
      <c r="O72" s="2402" t="s">
        <v>2403</v>
      </c>
      <c r="P72" s="2408" t="s">
        <v>2404</v>
      </c>
      <c r="Q72" s="2403">
        <f ca="1">J36</f>
        <v>0</v>
      </c>
      <c r="R72" s="2404"/>
    </row>
    <row r="73" spans="1:18" ht="15.75" thickBot="1">
      <c r="O73" s="2402" t="s">
        <v>2386</v>
      </c>
      <c r="P73" s="2400" t="s">
        <v>2393</v>
      </c>
      <c r="Q73" s="2403">
        <f>L52</f>
        <v>0</v>
      </c>
      <c r="R73" s="2404"/>
    </row>
    <row r="74" spans="1:18" ht="20.25" thickBot="1">
      <c r="O74" s="2402" t="s">
        <v>2388</v>
      </c>
      <c r="P74" s="2400" t="s">
        <v>2394</v>
      </c>
      <c r="Q74" s="2401" t="e">
        <f ca="1">L58</f>
        <v>#DIV/0!</v>
      </c>
      <c r="R74" s="2404" t="s">
        <v>2395</v>
      </c>
    </row>
    <row r="75" spans="1:18" ht="15.75" thickBot="1">
      <c r="O75" s="2402" t="s">
        <v>2417</v>
      </c>
      <c r="P75" s="2400" t="str">
        <f>K59</f>
        <v>建设期及建筑物耐用年限下的土地年期修正系数Kn</v>
      </c>
      <c r="Q75" s="2401" t="e">
        <f ca="1">L59</f>
        <v>#DIV/0!</v>
      </c>
      <c r="R75" s="2404" t="s">
        <v>2397</v>
      </c>
    </row>
    <row r="76" spans="1:18" ht="15.75" thickBot="1">
      <c r="O76" s="2399" t="s">
        <v>2391</v>
      </c>
      <c r="P76" s="2400" t="s">
        <v>2408</v>
      </c>
      <c r="Q76" s="2401">
        <f ca="1">Q66+Q67</f>
        <v>13083</v>
      </c>
      <c r="R76" s="240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28" priority="6">
      <formula>$L$48&gt;$J$51</formula>
    </cfRule>
  </conditionalFormatting>
  <conditionalFormatting sqref="I55">
    <cfRule type="expression" dxfId="27" priority="7">
      <formula>$J$51&gt;$L$48</formula>
    </cfRule>
  </conditionalFormatting>
  <conditionalFormatting sqref="I60">
    <cfRule type="expression" dxfId="26" priority="5">
      <formula>$J$51&gt;$L$48</formula>
    </cfRule>
  </conditionalFormatting>
  <conditionalFormatting sqref="K60">
    <cfRule type="expression" dxfId="25" priority="4">
      <formula>$L$48&gt;$J$51</formula>
    </cfRule>
  </conditionalFormatting>
  <conditionalFormatting sqref="C11">
    <cfRule type="expression" dxfId="24" priority="3">
      <formula>$F$10="自定义"</formula>
    </cfRule>
  </conditionalFormatting>
  <conditionalFormatting sqref="J11">
    <cfRule type="expression" dxfId="23" priority="2">
      <formula>$M$10="自定义"</formula>
    </cfRule>
  </conditionalFormatting>
  <conditionalFormatting sqref="C53">
    <cfRule type="expression" dxfId="2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C1" sqref="C1"/>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3012</v>
      </c>
      <c r="D1" s="3127" t="s">
        <v>3415</v>
      </c>
      <c r="E1" s="2388" t="s">
        <v>2374</v>
      </c>
      <c r="F1" s="2389">
        <f ca="1">J53</f>
        <v>36.58</v>
      </c>
      <c r="G1" s="774">
        <f>MATCH(C1,'数据-取费表'!A6:A16,0)+5</f>
        <v>9</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10630</v>
      </c>
      <c r="C2" s="2058"/>
      <c r="D2" s="2056"/>
      <c r="E2" s="2057"/>
      <c r="F2" s="2057"/>
      <c r="G2" s="1590"/>
      <c r="H2" s="2058"/>
      <c r="I2" s="2058"/>
      <c r="J2" s="2058"/>
      <c r="K2" s="2059"/>
      <c r="L2" s="2058"/>
      <c r="M2" s="2058"/>
    </row>
    <row r="3" spans="1:33" ht="18" customHeight="1" thickBot="1">
      <c r="A3" s="833" t="s">
        <v>1727</v>
      </c>
      <c r="B3" s="834">
        <f ca="1">IF(ISERROR(B2*10000/F43),0,ROUND(B2*10000/F43,0))</f>
        <v>16239</v>
      </c>
      <c r="C3" s="2058"/>
      <c r="D3" s="2056"/>
      <c r="E3" s="2057"/>
      <c r="F3" s="2057"/>
      <c r="G3" s="1590"/>
      <c r="H3" s="776" t="s">
        <v>695</v>
      </c>
      <c r="I3" s="1363"/>
      <c r="J3" s="1363"/>
      <c r="K3" s="1591"/>
      <c r="L3" s="1363"/>
      <c r="M3" s="1363"/>
    </row>
    <row r="4" spans="1:33" ht="18" customHeight="1">
      <c r="A4" s="777" t="s">
        <v>630</v>
      </c>
      <c r="B4" s="778" t="s">
        <v>631</v>
      </c>
      <c r="C4" s="778" t="s">
        <v>1730</v>
      </c>
      <c r="D4" s="778" t="s">
        <v>633</v>
      </c>
      <c r="E4" s="779" t="s">
        <v>1731</v>
      </c>
      <c r="F4" s="780"/>
      <c r="G4" s="1592"/>
      <c r="H4" s="777" t="s">
        <v>1732</v>
      </c>
      <c r="I4" s="778" t="s">
        <v>631</v>
      </c>
      <c r="J4" s="778" t="s">
        <v>1734</v>
      </c>
      <c r="K4" s="778" t="s">
        <v>1735</v>
      </c>
      <c r="L4" s="779" t="s">
        <v>634</v>
      </c>
      <c r="M4" s="780"/>
    </row>
    <row r="5" spans="1:33" ht="18" customHeight="1">
      <c r="A5" s="781">
        <v>1</v>
      </c>
      <c r="B5" s="782" t="s">
        <v>2458</v>
      </c>
      <c r="C5" s="55">
        <f ca="1">C6+C10+C12</f>
        <v>689</v>
      </c>
      <c r="D5" s="2497" t="s">
        <v>2461</v>
      </c>
      <c r="E5" s="2491"/>
      <c r="F5" s="2492"/>
      <c r="G5" s="1592"/>
      <c r="H5" s="781">
        <v>1</v>
      </c>
      <c r="I5" s="782" t="s">
        <v>2458</v>
      </c>
      <c r="J5" s="55">
        <f ca="1">J6+J10+J12</f>
        <v>0</v>
      </c>
      <c r="K5" s="2497" t="s">
        <v>2461</v>
      </c>
      <c r="L5" s="2491"/>
      <c r="M5" s="2492"/>
    </row>
    <row r="6" spans="1:33" ht="18" customHeight="1">
      <c r="A6" s="1831" t="s">
        <v>1824</v>
      </c>
      <c r="B6" s="3450" t="s">
        <v>2463</v>
      </c>
      <c r="C6" s="783">
        <f ca="1">ROUND(F6*F8*F7*(1-F9)/10000,0)</f>
        <v>688</v>
      </c>
      <c r="D6" s="2498" t="s">
        <v>2462</v>
      </c>
      <c r="E6" s="784" t="s">
        <v>1738</v>
      </c>
      <c r="F6" s="785">
        <f ca="1">INDIRECT("'数据-取费表'!u"&amp;$G$1)</f>
        <v>3.2</v>
      </c>
      <c r="G6" s="1592"/>
      <c r="H6" s="2505" t="s">
        <v>1824</v>
      </c>
      <c r="I6" s="3450" t="s">
        <v>2463</v>
      </c>
      <c r="J6" s="783">
        <f ca="1">ROUND(M6*M8*M7*(1-M9)/10000,0)</f>
        <v>0</v>
      </c>
      <c r="K6" s="341" t="s">
        <v>636</v>
      </c>
      <c r="L6" s="784" t="s">
        <v>1738</v>
      </c>
      <c r="M6" s="785">
        <f ca="1">INDIRECT("'数据-取费表'!z"&amp;$G$1)</f>
        <v>0</v>
      </c>
    </row>
    <row r="7" spans="1:33" ht="18" customHeight="1">
      <c r="A7" s="2501"/>
      <c r="B7" s="3451"/>
      <c r="C7" s="788"/>
      <c r="D7" s="789"/>
      <c r="E7" s="784" t="s">
        <v>638</v>
      </c>
      <c r="F7" s="785">
        <f ca="1">IF(INDIRECT("'数据-取费表'!ah"&amp;$G$1)="",INDIRECT("'数据-取费表'!k"&amp;$G$1),INDIRECT("'数据-取费表'!ah"&amp;$G$1))</f>
        <v>6546</v>
      </c>
      <c r="G7" s="1592"/>
      <c r="H7" s="2490"/>
      <c r="I7" s="3451"/>
      <c r="J7" s="788"/>
      <c r="K7" s="789"/>
      <c r="L7" s="784" t="s">
        <v>638</v>
      </c>
      <c r="M7" s="785">
        <f ca="1">F7</f>
        <v>6546</v>
      </c>
    </row>
    <row r="8" spans="1:33" ht="18" customHeight="1">
      <c r="A8" s="2494"/>
      <c r="B8" s="3452"/>
      <c r="C8" s="788"/>
      <c r="D8" s="789"/>
      <c r="E8" s="784" t="s">
        <v>639</v>
      </c>
      <c r="F8" s="785">
        <f ca="1">INDIRECT("'数据-取费表'!ai"&amp;$G$1)</f>
        <v>365</v>
      </c>
      <c r="G8" s="1592"/>
      <c r="H8" s="2490"/>
      <c r="I8" s="3452"/>
      <c r="J8" s="788"/>
      <c r="K8" s="789"/>
      <c r="L8" s="784" t="s">
        <v>639</v>
      </c>
      <c r="M8" s="785">
        <f ca="1">INDIRECT("'数据-取费表'!ai"&amp;$G$1)</f>
        <v>365</v>
      </c>
    </row>
    <row r="9" spans="1:33" ht="18" customHeight="1">
      <c r="A9" s="786"/>
      <c r="B9" s="3453"/>
      <c r="C9" s="788"/>
      <c r="D9" s="789"/>
      <c r="E9" s="784" t="s">
        <v>640</v>
      </c>
      <c r="F9" s="794">
        <f ca="1">INDIRECT("'数据-取费表'!w"&amp;$G$1)</f>
        <v>0.1</v>
      </c>
      <c r="G9" s="1592"/>
      <c r="H9" s="2506"/>
      <c r="I9" s="3452"/>
      <c r="J9" s="788"/>
      <c r="K9" s="789"/>
      <c r="L9" s="795" t="s">
        <v>640</v>
      </c>
      <c r="M9" s="796">
        <f ca="1">INDIRECT("'数据-取费表'!ab"&amp;$G$1)</f>
        <v>0</v>
      </c>
    </row>
    <row r="10" spans="1:33" ht="18" customHeight="1">
      <c r="A10" s="1831" t="s">
        <v>1834</v>
      </c>
      <c r="B10" s="2495" t="s">
        <v>2459</v>
      </c>
      <c r="C10" s="799">
        <f ca="1">ROUND(IF(F10="押一",C6/12*F11,IF(F10="押二",C6/12*2*F11,IF(F10="押三",C6/12*3*F11,C11*F11))),0)</f>
        <v>1</v>
      </c>
      <c r="D10" s="2502" t="s">
        <v>2968</v>
      </c>
      <c r="E10" s="2499" t="s">
        <v>2464</v>
      </c>
      <c r="F10" s="2622" t="s">
        <v>3416</v>
      </c>
      <c r="G10" s="1592"/>
      <c r="H10" s="2562" t="s">
        <v>1834</v>
      </c>
      <c r="I10" s="2567" t="s">
        <v>2459</v>
      </c>
      <c r="J10" s="783">
        <f ca="1">ROUND(IF(M10="押一",J6/12*M11,IF(M10="押二",J6/12*2*M11,IF(M10="押三",J6/12*3*M11,J11*M11))),0)</f>
        <v>0</v>
      </c>
      <c r="K10" s="2502" t="s">
        <v>2968</v>
      </c>
      <c r="L10" s="2499" t="s">
        <v>2464</v>
      </c>
      <c r="M10" s="2622"/>
    </row>
    <row r="11" spans="1:33" ht="18" customHeight="1">
      <c r="A11" s="790"/>
      <c r="B11" s="2496" t="s">
        <v>2573</v>
      </c>
      <c r="C11" s="2500"/>
      <c r="D11" s="789"/>
      <c r="E11" s="2499" t="s">
        <v>2456</v>
      </c>
      <c r="F11" s="796">
        <f ca="1">'数据-取费表'!B39</f>
        <v>1.4999999999999999E-2</v>
      </c>
      <c r="G11" s="1592"/>
      <c r="H11" s="2563"/>
      <c r="I11" s="2496" t="s">
        <v>2573</v>
      </c>
      <c r="J11" s="2500"/>
      <c r="K11" s="2564"/>
      <c r="L11" s="2499" t="s">
        <v>2456</v>
      </c>
      <c r="M11" s="2493">
        <f ca="1">'数据-取费表'!B39</f>
        <v>1.4999999999999999E-2</v>
      </c>
    </row>
    <row r="12" spans="1:33" ht="18" customHeight="1" thickBot="1">
      <c r="A12" s="2538" t="s">
        <v>2467</v>
      </c>
      <c r="B12" s="2539" t="s">
        <v>2460</v>
      </c>
      <c r="C12" s="2540"/>
      <c r="D12" s="2541"/>
      <c r="E12" s="2542"/>
      <c r="F12" s="2543"/>
      <c r="G12" s="1592"/>
      <c r="H12" s="2552" t="s">
        <v>2467</v>
      </c>
      <c r="I12" s="2565" t="s">
        <v>2460</v>
      </c>
      <c r="J12" s="2566"/>
      <c r="K12" s="2541"/>
      <c r="L12" s="2542"/>
      <c r="M12" s="2555"/>
    </row>
    <row r="13" spans="1:33" ht="18" customHeight="1" thickTop="1">
      <c r="A13" s="1830">
        <v>2</v>
      </c>
      <c r="B13" s="1828" t="s">
        <v>644</v>
      </c>
      <c r="C13" s="792">
        <f ca="1">ROUND(C29*F13,0)</f>
        <v>4412</v>
      </c>
      <c r="D13" s="1835" t="s">
        <v>2298</v>
      </c>
      <c r="E13" s="1835" t="s">
        <v>643</v>
      </c>
      <c r="F13" s="2537">
        <f ca="1">INDIRECT("'数据-取费表'!y"&amp;$G$1)</f>
        <v>1</v>
      </c>
      <c r="G13" s="1592"/>
      <c r="H13" s="1830">
        <v>2</v>
      </c>
      <c r="I13" s="1828" t="s">
        <v>644</v>
      </c>
      <c r="J13" s="1820">
        <f ca="1">ROUND(J14*J15,0)</f>
        <v>0</v>
      </c>
      <c r="K13" s="1822" t="s">
        <v>642</v>
      </c>
      <c r="L13" s="2553"/>
      <c r="M13" s="2554"/>
    </row>
    <row r="14" spans="1:33" ht="18" customHeight="1">
      <c r="A14" s="1648" t="s">
        <v>1831</v>
      </c>
      <c r="B14" s="784" t="s">
        <v>645</v>
      </c>
      <c r="C14" s="804">
        <f ca="1">INDIRECT("'数据-取费表'!m"&amp;$G$1)+INDIRECT("'数据-取费表'!t"&amp;$G$1)</f>
        <v>3187</v>
      </c>
      <c r="D14" s="3181" t="s">
        <v>1745</v>
      </c>
      <c r="E14" s="3182"/>
      <c r="F14" s="805"/>
      <c r="G14" s="1592"/>
      <c r="H14" s="1649" t="s">
        <v>1824</v>
      </c>
      <c r="I14" s="2232" t="s">
        <v>2824</v>
      </c>
      <c r="J14" s="53">
        <f ca="1">C29</f>
        <v>4412</v>
      </c>
      <c r="K14" s="26"/>
      <c r="L14" s="801"/>
      <c r="M14" s="802"/>
    </row>
    <row r="15" spans="1:33" s="2065" customFormat="1" ht="18" customHeight="1" thickBot="1">
      <c r="A15" s="1648" t="s">
        <v>1832</v>
      </c>
      <c r="B15" s="784" t="s">
        <v>647</v>
      </c>
      <c r="C15" s="53">
        <f ca="1">ROUND(C14*F15,0)</f>
        <v>96</v>
      </c>
      <c r="D15" s="806" t="s">
        <v>648</v>
      </c>
      <c r="E15" s="806" t="s">
        <v>1747</v>
      </c>
      <c r="F15" s="807">
        <f>'数据-取费表'!B33</f>
        <v>0.03</v>
      </c>
      <c r="G15" s="1593"/>
      <c r="H15" s="2552" t="s">
        <v>1889</v>
      </c>
      <c r="I15" s="2547" t="s">
        <v>643</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1886</v>
      </c>
      <c r="B16" s="784" t="s">
        <v>650</v>
      </c>
      <c r="C16" s="53">
        <f ca="1">ROUND(INDIRECT("'数据-取费表'!m"&amp;$G$1)*F16,0)</f>
        <v>0</v>
      </c>
      <c r="D16" s="784" t="s">
        <v>648</v>
      </c>
      <c r="E16" s="784" t="s">
        <v>1747</v>
      </c>
      <c r="F16" s="809">
        <f ca="1">IF(INDIRECT("'数据-取费表'!c"&amp;$G$1)="住宅",'数据-取费表'!B34,0)</f>
        <v>0</v>
      </c>
      <c r="G16" s="1592"/>
      <c r="H16" s="1830" t="s">
        <v>1748</v>
      </c>
      <c r="I16" s="1828" t="s">
        <v>1749</v>
      </c>
      <c r="J16" s="792">
        <f ca="1">ROUND(J17+J22+J23+J24,0)</f>
        <v>463</v>
      </c>
      <c r="K16" s="1822" t="s">
        <v>1750</v>
      </c>
      <c r="L16" s="3183"/>
      <c r="M16" s="2492"/>
    </row>
    <row r="17" spans="1:33" s="2065" customFormat="1" ht="18" customHeight="1">
      <c r="A17" s="1648" t="s">
        <v>1887</v>
      </c>
      <c r="B17" s="784" t="s">
        <v>653</v>
      </c>
      <c r="C17" s="53">
        <f ca="1">ROUND(F17*(F43+INDIRECT("'数据-取费表'!S"&amp;$G$1))/10000,0)</f>
        <v>150</v>
      </c>
      <c r="D17" s="784" t="s">
        <v>654</v>
      </c>
      <c r="E17" s="784" t="s">
        <v>1752</v>
      </c>
      <c r="F17" s="56">
        <f>'数据-取费表'!B35</f>
        <v>200</v>
      </c>
      <c r="G17" s="1593"/>
      <c r="H17" s="1649" t="s">
        <v>1824</v>
      </c>
      <c r="I17" s="784" t="s">
        <v>656</v>
      </c>
      <c r="J17" s="53">
        <f ca="1">ROUND(IF(项目基本情况!B11="自然人",J5*M17,J18+J19+J20),0)</f>
        <v>375</v>
      </c>
      <c r="K17" s="3181" t="s">
        <v>657</v>
      </c>
      <c r="L17" s="3180" t="s">
        <v>658</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659</v>
      </c>
      <c r="C18" s="53">
        <f ca="1">ROUND(C14*F18,0)</f>
        <v>48</v>
      </c>
      <c r="D18" s="784" t="s">
        <v>648</v>
      </c>
      <c r="E18" s="784" t="s">
        <v>1747</v>
      </c>
      <c r="F18" s="809">
        <f>'数据-取费表'!B36</f>
        <v>1.4999999999999999E-2</v>
      </c>
      <c r="G18" s="1593"/>
      <c r="H18" s="1648" t="s">
        <v>1831</v>
      </c>
      <c r="I18" s="784" t="s">
        <v>1755</v>
      </c>
      <c r="J18" s="53">
        <f ca="1">ROUND(J5*M18/1.05,1)</f>
        <v>0</v>
      </c>
      <c r="K18" s="3180" t="s">
        <v>661</v>
      </c>
      <c r="L18" s="784" t="s">
        <v>1747</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662</v>
      </c>
      <c r="C19" s="53">
        <f ca="1">SUM(C14:C18)</f>
        <v>3481</v>
      </c>
      <c r="D19" s="261" t="s">
        <v>1757</v>
      </c>
      <c r="E19" s="3186"/>
      <c r="F19" s="56"/>
      <c r="G19" s="1592"/>
      <c r="H19" s="1648" t="s">
        <v>1832</v>
      </c>
      <c r="I19" s="784" t="s">
        <v>664</v>
      </c>
      <c r="J19" s="53">
        <f ca="1">IF(K19="按租金收入计税",ROUND(J5*M19,1),ROUND(C29*F33*0.7,1))</f>
        <v>370.6</v>
      </c>
      <c r="K19" s="811" t="s">
        <v>665</v>
      </c>
      <c r="L19" s="784" t="s">
        <v>1747</v>
      </c>
      <c r="M19" s="809">
        <f>IF(K19="按租金收入计税",'数据-取费表'!B51,'数据-取费表'!B50)</f>
        <v>1.2E-2</v>
      </c>
    </row>
    <row r="20" spans="1:33" s="2065" customFormat="1" ht="18" customHeight="1">
      <c r="A20" s="1649" t="s">
        <v>1889</v>
      </c>
      <c r="B20" s="784" t="s">
        <v>666</v>
      </c>
      <c r="C20" s="53">
        <f ca="1">ROUND(C19*F20,0)</f>
        <v>70</v>
      </c>
      <c r="D20" s="812" t="s">
        <v>667</v>
      </c>
      <c r="E20" s="784" t="s">
        <v>1747</v>
      </c>
      <c r="F20" s="809">
        <f>'数据-取费表'!B37</f>
        <v>0.02</v>
      </c>
      <c r="G20" s="1593"/>
      <c r="H20" s="1651" t="s">
        <v>1880</v>
      </c>
      <c r="I20" s="341" t="s">
        <v>1760</v>
      </c>
      <c r="J20" s="54">
        <f ca="1">ROUND(M20*M21/10000,0)</f>
        <v>4</v>
      </c>
      <c r="K20" s="814" t="s">
        <v>669</v>
      </c>
      <c r="L20" s="784" t="s">
        <v>1762</v>
      </c>
      <c r="M20" s="640">
        <f>'数据-取费表'!B52</f>
        <v>12</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671</v>
      </c>
      <c r="C21" s="53" t="s">
        <v>1764</v>
      </c>
      <c r="D21" s="812" t="s">
        <v>2299</v>
      </c>
      <c r="E21" s="784" t="s">
        <v>673</v>
      </c>
      <c r="F21" s="809">
        <f>'数据-取费表'!B38</f>
        <v>0.02</v>
      </c>
      <c r="G21" s="1593"/>
      <c r="H21" s="2507"/>
      <c r="I21" s="793"/>
      <c r="J21" s="69"/>
      <c r="K21" s="816"/>
      <c r="L21" s="784" t="s">
        <v>1766</v>
      </c>
      <c r="M21" s="785">
        <f ca="1">INDIRECT("'数据-取费表'!r"&amp;$G$1)</f>
        <v>2979.4700000000003</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73" t="str">
        <f>IF(F23&lt;=1,"单利计息。","复利计息。")&amp;"建造成本、管理费用、销售费用产生的利息。"</f>
        <v>复利计息。建造成本、管理费用、销售费用产生的利息。</v>
      </c>
      <c r="E22" s="3186"/>
      <c r="F22" s="56"/>
      <c r="G22" s="1592"/>
      <c r="H22" s="1649" t="s">
        <v>1889</v>
      </c>
      <c r="I22" s="784" t="s">
        <v>1768</v>
      </c>
      <c r="J22" s="53">
        <f ca="1">ROUND(J14*M22,0)</f>
        <v>88</v>
      </c>
      <c r="K22" s="3180" t="s">
        <v>1769</v>
      </c>
      <c r="L22" s="784" t="s">
        <v>1747</v>
      </c>
      <c r="M22" s="817">
        <f ca="1">INDIRECT("'数据-取费表'!Ak"&amp;$G$1)</f>
        <v>0.02</v>
      </c>
    </row>
    <row r="23" spans="1:33" s="2065" customFormat="1" ht="18" customHeight="1">
      <c r="A23" s="1648" t="s">
        <v>1831</v>
      </c>
      <c r="B23" s="784" t="s">
        <v>2535</v>
      </c>
      <c r="C23" s="53">
        <f ca="1">ROUND(IF('数据-取费表'!B22&lt;=1,(C19+C20)*F24*F23/2,(C19+C20)*(POWER((1+F24),F23/2)-1)),0)</f>
        <v>169</v>
      </c>
      <c r="D23" s="2572" t="str">
        <f>IF(F23&lt;=1,"(建造成本+管理费用)×利率×(建设周期÷2)","(建造成本+管理费用)×((1+利率)^(建设周期÷2)-1)")</f>
        <v>(建造成本+管理费用)×((1+利率)^(建设周期÷2)-1)</v>
      </c>
      <c r="E23" s="784" t="s">
        <v>678</v>
      </c>
      <c r="F23" s="640">
        <f>'数据-取费表'!B20</f>
        <v>2</v>
      </c>
      <c r="G23" s="1593"/>
      <c r="H23" s="1649" t="s">
        <v>1890</v>
      </c>
      <c r="I23" s="784" t="s">
        <v>679</v>
      </c>
      <c r="J23" s="53">
        <f ca="1">ROUND(J13*M23,0)</f>
        <v>0</v>
      </c>
      <c r="K23" s="3180" t="s">
        <v>680</v>
      </c>
      <c r="L23" s="784" t="s">
        <v>1747</v>
      </c>
      <c r="M23" s="818">
        <f ca="1">INDIRECT("'数据-取费表'!Al"&amp;$G$1)</f>
        <v>2E-3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1E-3</v>
      </c>
      <c r="D24" s="2572" t="str">
        <f>IF(F23&lt;=1,"销售费用×利率×(建设周期÷2)","销售费用×((1+利率)^(建设周期÷2)-1)")</f>
        <v>销售费用×((1+利率)^(建设周期÷2)-1)</v>
      </c>
      <c r="E24" s="784" t="s">
        <v>682</v>
      </c>
      <c r="F24" s="819">
        <f ca="1">'数据-取费表'!B40</f>
        <v>4.7500000000000001E-2</v>
      </c>
      <c r="G24" s="1593"/>
      <c r="H24" s="2552" t="s">
        <v>1891</v>
      </c>
      <c r="I24" s="2547" t="s">
        <v>666</v>
      </c>
      <c r="J24" s="2545">
        <f ca="1">ROUND(J5*M24,0)</f>
        <v>0</v>
      </c>
      <c r="K24" s="2546" t="s">
        <v>683</v>
      </c>
      <c r="L24" s="2547" t="s">
        <v>1747</v>
      </c>
      <c r="M24" s="2543">
        <f ca="1">INDIRECT("'数据-取费表'!Am"&amp;$G$1)</f>
        <v>0.02</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684</v>
      </c>
      <c r="C25" s="53"/>
      <c r="D25" s="261" t="s">
        <v>685</v>
      </c>
      <c r="E25" s="3186"/>
      <c r="F25" s="56"/>
      <c r="G25" s="1592"/>
      <c r="H25" s="1830" t="s">
        <v>1776</v>
      </c>
      <c r="I25" s="3011" t="s">
        <v>2821</v>
      </c>
      <c r="J25" s="792">
        <f ca="1">J5-J16</f>
        <v>-463</v>
      </c>
      <c r="K25" s="2549" t="s">
        <v>700</v>
      </c>
      <c r="L25" s="2550"/>
      <c r="M25" s="2551"/>
    </row>
    <row r="26" spans="1:33" ht="18" customHeight="1">
      <c r="A26" s="1648" t="s">
        <v>1831</v>
      </c>
      <c r="B26" s="784" t="s">
        <v>2438</v>
      </c>
      <c r="C26" s="53">
        <f ca="1">ROUND((C19+C20)*F26,0)</f>
        <v>355</v>
      </c>
      <c r="D26" s="812" t="s">
        <v>701</v>
      </c>
      <c r="E26" s="795" t="s">
        <v>702</v>
      </c>
      <c r="F26" s="794">
        <f ca="1">INDIRECT("'数据-取费表'!q"&amp;$G$1)</f>
        <v>0.1</v>
      </c>
      <c r="G26" s="1592"/>
      <c r="H26" s="2503" t="s">
        <v>1780</v>
      </c>
      <c r="I26" s="2233" t="s">
        <v>2826</v>
      </c>
      <c r="J26" s="783">
        <f ca="1">IF(J5&lt;&gt;0,ROUND(J25*(1-((1+M28)/(1+M26))^M27)/(M26-M28),0),0)</f>
        <v>0</v>
      </c>
      <c r="K26" s="814" t="s">
        <v>1781</v>
      </c>
      <c r="L26" s="784" t="s">
        <v>2419</v>
      </c>
      <c r="M26" s="794">
        <f ca="1">INDIRECT("'数据-取费表'!I"&amp;$G$1)</f>
        <v>5.5E-2</v>
      </c>
    </row>
    <row r="27" spans="1:33" ht="18" customHeight="1">
      <c r="A27" s="1648" t="s">
        <v>1832</v>
      </c>
      <c r="B27" s="784" t="s">
        <v>686</v>
      </c>
      <c r="C27" s="53">
        <f ca="1">ROUND(F21*F26,4)</f>
        <v>2E-3</v>
      </c>
      <c r="D27" s="812" t="s">
        <v>706</v>
      </c>
      <c r="E27" s="806"/>
      <c r="F27" s="807"/>
      <c r="G27" s="1592"/>
      <c r="H27" s="2504"/>
      <c r="I27" s="787"/>
      <c r="J27" s="788"/>
      <c r="K27" s="821" t="s">
        <v>707</v>
      </c>
      <c r="L27" s="784" t="s">
        <v>708</v>
      </c>
      <c r="M27" s="822">
        <f ca="1">INDIRECT("'数据-取费表'!ag"&amp;$G$1)</f>
        <v>0</v>
      </c>
    </row>
    <row r="28" spans="1:33" s="2065" customFormat="1" ht="18" customHeight="1">
      <c r="A28" s="1650" t="s">
        <v>1841</v>
      </c>
      <c r="B28" s="784" t="s">
        <v>687</v>
      </c>
      <c r="C28" s="53">
        <f>ROUND(F28/(1+'数据-取费表'!C42),4)</f>
        <v>5.33E-2</v>
      </c>
      <c r="D28" s="812" t="s">
        <v>2300</v>
      </c>
      <c r="E28" s="784" t="s">
        <v>649</v>
      </c>
      <c r="F28" s="809">
        <f>'数据-取费表'!B41</f>
        <v>5.6000000000000001E-2</v>
      </c>
      <c r="G28" s="1593"/>
      <c r="H28" s="1830"/>
      <c r="I28" s="791"/>
      <c r="J28" s="792"/>
      <c r="K28" s="816"/>
      <c r="L28" s="784" t="s">
        <v>1786</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1892</v>
      </c>
      <c r="B29" s="2542" t="s">
        <v>2301</v>
      </c>
      <c r="C29" s="2545">
        <f ca="1">ROUND((C19+C20+C23+C26)/(1-F21-C24-C27-C28),0)</f>
        <v>4412</v>
      </c>
      <c r="D29" s="2546"/>
      <c r="E29" s="2547"/>
      <c r="F29" s="2548"/>
      <c r="G29" s="1593"/>
      <c r="H29" s="823" t="s">
        <v>1787</v>
      </c>
      <c r="I29" s="824" t="s">
        <v>1788</v>
      </c>
      <c r="J29" s="825">
        <f ca="1">ROUND(J26/(1+F40)^F41,0)</f>
        <v>0</v>
      </c>
      <c r="K29" s="826" t="s">
        <v>688</v>
      </c>
      <c r="L29" s="827"/>
      <c r="M29" s="828">
        <f ca="1">INDIRECT("'数据-取费表'!k"&amp;$G$1)</f>
        <v>6546</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1748</v>
      </c>
      <c r="B30" s="1828" t="s">
        <v>1749</v>
      </c>
      <c r="C30" s="792">
        <f ca="1">ROUND(C31+C36+C37+C38,0)</f>
        <v>234</v>
      </c>
      <c r="D30" s="1822" t="s">
        <v>1791</v>
      </c>
      <c r="E30" s="3183"/>
      <c r="F30" s="2492"/>
      <c r="G30" s="2063"/>
      <c r="H30" s="2066"/>
      <c r="I30" s="2067"/>
      <c r="J30" s="2068"/>
      <c r="K30" s="2069"/>
      <c r="L30" s="2070"/>
      <c r="M30" s="2071"/>
    </row>
    <row r="31" spans="1:33" ht="18" customHeight="1">
      <c r="A31" s="1649" t="s">
        <v>1824</v>
      </c>
      <c r="B31" s="784" t="s">
        <v>656</v>
      </c>
      <c r="C31" s="53">
        <f ca="1">ROUND(IF(项目基本情况!B11="自然人",C5*F31,C32+C33+C34),1)</f>
        <v>123</v>
      </c>
      <c r="D31" s="3181" t="s">
        <v>657</v>
      </c>
      <c r="E31" s="3180" t="s">
        <v>690</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1831</v>
      </c>
      <c r="B32" s="784" t="s">
        <v>1755</v>
      </c>
      <c r="C32" s="53">
        <f ca="1">ROUND(C5*F32/1.05,1)</f>
        <v>36.700000000000003</v>
      </c>
      <c r="D32" s="3180" t="s">
        <v>1795</v>
      </c>
      <c r="E32" s="784" t="s">
        <v>649</v>
      </c>
      <c r="F32" s="809">
        <f>'数据-取费表'!B41</f>
        <v>5.6000000000000001E-2</v>
      </c>
      <c r="G32" s="2063"/>
      <c r="H32" s="2072"/>
      <c r="I32" s="2073"/>
      <c r="J32" s="2074"/>
      <c r="K32" s="2075"/>
      <c r="L32" s="2076"/>
      <c r="M32" s="2077"/>
    </row>
    <row r="33" spans="1:18" ht="18" customHeight="1">
      <c r="A33" s="1648" t="s">
        <v>1832</v>
      </c>
      <c r="B33" s="784" t="s">
        <v>1797</v>
      </c>
      <c r="C33" s="53">
        <f ca="1">IF(D33="按租金收入计税",ROUND(C5*F33,1),IF(D33="按房产原值计税",ROUND(C29*F33*0.7,1),INDIRECT("'数据-取费表'!Aj"&amp;$G$1)))</f>
        <v>82.7</v>
      </c>
      <c r="D33" s="811" t="s">
        <v>3417</v>
      </c>
      <c r="E33" s="784" t="s">
        <v>649</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3.6</v>
      </c>
      <c r="D34" s="814" t="s">
        <v>1799</v>
      </c>
      <c r="E34" s="784" t="s">
        <v>1800</v>
      </c>
      <c r="F34" s="640">
        <f>'数据-取费表'!B52</f>
        <v>12</v>
      </c>
      <c r="G34" s="2063"/>
      <c r="H34" s="2066"/>
      <c r="I34" s="835" t="s">
        <v>1813</v>
      </c>
      <c r="J34" s="836"/>
      <c r="K34" s="2081"/>
      <c r="L34" s="2080"/>
      <c r="M34" s="2080"/>
    </row>
    <row r="35" spans="1:18" ht="18" customHeight="1">
      <c r="A35" s="815"/>
      <c r="B35" s="793"/>
      <c r="C35" s="69"/>
      <c r="D35" s="816"/>
      <c r="E35" s="784" t="s">
        <v>1766</v>
      </c>
      <c r="F35" s="785">
        <f ca="1">INDIRECT("'数据-取费表'!r"&amp;$G$1)</f>
        <v>2979.4700000000003</v>
      </c>
      <c r="G35" s="2063"/>
      <c r="H35" s="2066"/>
      <c r="I35" s="837" t="s">
        <v>1814</v>
      </c>
      <c r="J35" s="838">
        <f ca="1">ROUND(C13*J36,0)</f>
        <v>0</v>
      </c>
      <c r="K35" s="2079"/>
      <c r="L35" s="2078"/>
      <c r="M35" s="2078"/>
    </row>
    <row r="36" spans="1:18" ht="18" customHeight="1">
      <c r="A36" s="1649" t="s">
        <v>1889</v>
      </c>
      <c r="B36" s="784" t="s">
        <v>1802</v>
      </c>
      <c r="C36" s="53">
        <f ca="1">ROUND(C29*F36,1)</f>
        <v>88.2</v>
      </c>
      <c r="D36" s="3180" t="s">
        <v>691</v>
      </c>
      <c r="E36" s="784" t="s">
        <v>649</v>
      </c>
      <c r="F36" s="817">
        <f ca="1">INDIRECT("'数据-取费表'!Ak"&amp;$G$1)</f>
        <v>0.02</v>
      </c>
      <c r="G36" s="2063"/>
      <c r="H36" s="2078"/>
      <c r="I36" s="839" t="s">
        <v>1815</v>
      </c>
      <c r="J36" s="840">
        <f ca="1">INDIRECT("'数据-取费表'!j"&amp;$G$1)</f>
        <v>0</v>
      </c>
      <c r="K36" s="2083"/>
      <c r="L36" s="2078"/>
      <c r="M36" s="2078"/>
    </row>
    <row r="37" spans="1:18" ht="18" customHeight="1">
      <c r="A37" s="1649" t="s">
        <v>1890</v>
      </c>
      <c r="B37" s="784" t="s">
        <v>679</v>
      </c>
      <c r="C37" s="53">
        <f ca="1">ROUND(C13*F37,1)</f>
        <v>8.8000000000000007</v>
      </c>
      <c r="D37" s="3180" t="s">
        <v>680</v>
      </c>
      <c r="E37" s="784" t="s">
        <v>649</v>
      </c>
      <c r="F37" s="818">
        <f ca="1">INDIRECT("'数据-取费表'!Al"&amp;$G$1)</f>
        <v>2E-3</v>
      </c>
      <c r="G37" s="2063"/>
      <c r="H37" s="2078"/>
      <c r="I37" s="841" t="s">
        <v>1816</v>
      </c>
      <c r="J37" s="842"/>
      <c r="K37" s="2083"/>
      <c r="L37" s="2078"/>
      <c r="M37" s="2078"/>
    </row>
    <row r="38" spans="1:18" ht="18" customHeight="1" thickBot="1">
      <c r="A38" s="2552" t="s">
        <v>1891</v>
      </c>
      <c r="B38" s="2547" t="s">
        <v>666</v>
      </c>
      <c r="C38" s="2545">
        <f ca="1">ROUND(C5*F38,1)</f>
        <v>13.8</v>
      </c>
      <c r="D38" s="2546" t="s">
        <v>683</v>
      </c>
      <c r="E38" s="2547" t="s">
        <v>649</v>
      </c>
      <c r="F38" s="2543">
        <f ca="1">INDIRECT("'数据-取费表'!Am"&amp;$G$1)</f>
        <v>0.02</v>
      </c>
      <c r="G38" s="2063"/>
      <c r="H38" s="2078"/>
      <c r="I38" s="843" t="s">
        <v>1817</v>
      </c>
      <c r="J38" s="844"/>
      <c r="K38" s="2084"/>
      <c r="L38" s="2078"/>
      <c r="M38" s="2078"/>
    </row>
    <row r="39" spans="1:18" ht="24.6" customHeight="1" thickTop="1">
      <c r="A39" s="1830" t="s">
        <v>1894</v>
      </c>
      <c r="B39" s="3011" t="s">
        <v>2821</v>
      </c>
      <c r="C39" s="792">
        <f ca="1">C5-C30</f>
        <v>455</v>
      </c>
      <c r="D39" s="2549" t="s">
        <v>1806</v>
      </c>
      <c r="E39" s="2550"/>
      <c r="F39" s="2551"/>
      <c r="G39" s="2063"/>
      <c r="H39" s="2078"/>
      <c r="I39" s="837" t="s">
        <v>1818</v>
      </c>
      <c r="J39" s="845">
        <f ca="1">ROUND(J35/C39,3)</f>
        <v>0</v>
      </c>
      <c r="K39" s="2084"/>
      <c r="L39" s="2078"/>
      <c r="M39" s="2078"/>
    </row>
    <row r="40" spans="1:18" ht="18" customHeight="1">
      <c r="A40" s="781" t="s">
        <v>1780</v>
      </c>
      <c r="B40" s="2233" t="s">
        <v>2302</v>
      </c>
      <c r="C40" s="783">
        <f ca="1">ROUND(C39*(1-((1+F42)/(1+F40))^F41)/(F40-F42),0)</f>
        <v>10630</v>
      </c>
      <c r="D40" s="814" t="s">
        <v>704</v>
      </c>
      <c r="E40" s="784" t="s">
        <v>2419</v>
      </c>
      <c r="F40" s="794">
        <f ca="1">INDIRECT("'数据-取费表'!I"&amp;$G$1)</f>
        <v>5.5E-2</v>
      </c>
      <c r="G40" s="2063"/>
      <c r="H40" s="2063"/>
      <c r="I40" s="837" t="s">
        <v>1819</v>
      </c>
      <c r="J40" s="845">
        <f ca="1">1-J39</f>
        <v>1</v>
      </c>
      <c r="K40" s="2084"/>
      <c r="L40" s="2063"/>
      <c r="M40" s="2063"/>
    </row>
    <row r="41" spans="1:18" ht="18" customHeight="1">
      <c r="A41" s="786"/>
      <c r="B41" s="787"/>
      <c r="C41" s="788"/>
      <c r="D41" s="821" t="s">
        <v>1808</v>
      </c>
      <c r="E41" s="784" t="s">
        <v>2958</v>
      </c>
      <c r="F41" s="822">
        <f ca="1">IF(INDIRECT("'数据-取费表'!af"&amp;$G$1)=0,INDIRECT("'数据-取费表'!ae"&amp;$G$1),INDIRECT("'数据-取费表'!af"&amp;$G$1))</f>
        <v>36.58</v>
      </c>
      <c r="G41" s="2063"/>
      <c r="H41" s="1989"/>
      <c r="I41" s="843" t="s">
        <v>1820</v>
      </c>
      <c r="J41" s="846"/>
      <c r="K41" s="2083"/>
      <c r="L41" s="1989"/>
      <c r="M41" s="1989"/>
    </row>
    <row r="42" spans="1:18" ht="18" customHeight="1">
      <c r="A42" s="790"/>
      <c r="B42" s="791"/>
      <c r="C42" s="792"/>
      <c r="D42" s="816"/>
      <c r="E42" s="784" t="s">
        <v>1809</v>
      </c>
      <c r="F42" s="794">
        <f ca="1">INDIRECT("'数据-取费表'!v"&amp;$G$1)</f>
        <v>0.03</v>
      </c>
      <c r="G42" s="2063"/>
      <c r="H42" s="1989"/>
      <c r="I42" s="847" t="s">
        <v>1821</v>
      </c>
      <c r="J42" s="845">
        <f ca="1">ROUND(C13/C40,3)</f>
        <v>0.41499999999999998</v>
      </c>
      <c r="K42" s="2083"/>
      <c r="L42" s="1989"/>
      <c r="M42" s="1989"/>
    </row>
    <row r="43" spans="1:18" ht="18" customHeight="1" thickBot="1">
      <c r="A43" s="823" t="s">
        <v>1787</v>
      </c>
      <c r="B43" s="824" t="s">
        <v>1810</v>
      </c>
      <c r="C43" s="825">
        <f ca="1">ROUND(C40*10000/F43,0)</f>
        <v>16239</v>
      </c>
      <c r="D43" s="826" t="s">
        <v>1811</v>
      </c>
      <c r="E43" s="827" t="s">
        <v>1812</v>
      </c>
      <c r="F43" s="828">
        <f ca="1">INDIRECT("'数据-取费表'!k"&amp;$G$1)</f>
        <v>6546</v>
      </c>
      <c r="G43" s="2063"/>
      <c r="H43" s="1989"/>
      <c r="I43" s="847" t="s">
        <v>1822</v>
      </c>
      <c r="J43" s="848">
        <f ca="1">1-J42</f>
        <v>0.58499999999999996</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75">
        <f ca="1">C67-C40</f>
        <v>-12207</v>
      </c>
      <c r="D46" s="2086"/>
      <c r="E46" s="2086"/>
      <c r="F46" s="2086"/>
      <c r="I46" s="2379" t="s">
        <v>2343</v>
      </c>
      <c r="J46" s="2380"/>
      <c r="K46" s="2381"/>
      <c r="L46" s="3162">
        <f>IF(OR(M47="住宅",D1="土地（套用方法）"),0,IF(L48&gt;J51,L60,J60))</f>
        <v>0</v>
      </c>
      <c r="O46" s="2395" t="s">
        <v>2410</v>
      </c>
      <c r="P46" s="1592"/>
      <c r="Q46" s="1604"/>
      <c r="R46" s="1592"/>
    </row>
    <row r="47" spans="1:18" s="2060" customFormat="1" ht="18" customHeight="1" thickBot="1">
      <c r="A47" s="2373">
        <v>1</v>
      </c>
      <c r="B47" s="2374" t="s">
        <v>635</v>
      </c>
      <c r="C47" s="2575">
        <f ca="1">C48+C52+C54</f>
        <v>0</v>
      </c>
      <c r="D47" s="2086"/>
      <c r="E47" s="2086"/>
      <c r="F47" s="2086"/>
      <c r="I47" s="3152" t="s">
        <v>2344</v>
      </c>
      <c r="J47" s="2382" t="s">
        <v>3418</v>
      </c>
      <c r="K47" s="3159" t="s">
        <v>2349</v>
      </c>
      <c r="L47" s="3163">
        <f ca="1">INDIRECT("'数据-取费表'!d"&amp;$G$1)</f>
        <v>40</v>
      </c>
      <c r="M47" s="1604" t="str">
        <f>IF(ISNUMBER(FIND("住宅",C1)),"住宅","非住宅")</f>
        <v>非住宅</v>
      </c>
      <c r="O47" s="2396" t="s">
        <v>2375</v>
      </c>
      <c r="P47" s="2397" t="s">
        <v>2376</v>
      </c>
      <c r="Q47" s="2398" t="s">
        <v>2377</v>
      </c>
      <c r="R47" s="2397" t="s">
        <v>2378</v>
      </c>
    </row>
    <row r="48" spans="1:18" s="2060" customFormat="1" ht="18" customHeight="1" thickBot="1">
      <c r="A48" s="2643" t="s">
        <v>2537</v>
      </c>
      <c r="B48" s="2644" t="s">
        <v>2538</v>
      </c>
      <c r="C48" s="2375">
        <f ca="1">ROUND(F48*F50*F49*(1-F51)/10000,0)</f>
        <v>0</v>
      </c>
      <c r="D48" s="2376" t="s">
        <v>636</v>
      </c>
      <c r="E48" s="2377" t="s">
        <v>2297</v>
      </c>
      <c r="F48" s="2378"/>
      <c r="G48" s="2091"/>
      <c r="I48" s="3128" t="s">
        <v>2345</v>
      </c>
      <c r="J48" s="2383" t="s">
        <v>2350</v>
      </c>
      <c r="K48" s="3160" t="s">
        <v>2351</v>
      </c>
      <c r="L48" s="1909">
        <f ca="1">INDIRECT("'数据-取费表'!f"&amp;$G$1)</f>
        <v>38.58</v>
      </c>
      <c r="O48" s="2399" t="s">
        <v>2379</v>
      </c>
      <c r="P48" s="2400" t="s">
        <v>2405</v>
      </c>
      <c r="Q48" s="2401">
        <f ca="1">C40+J29</f>
        <v>10630</v>
      </c>
      <c r="R48" s="2400" t="s">
        <v>2380</v>
      </c>
    </row>
    <row r="49" spans="1:18" s="2060" customFormat="1" ht="18" customHeight="1" thickBot="1">
      <c r="A49" s="786"/>
      <c r="B49" s="787"/>
      <c r="C49" s="788"/>
      <c r="D49" s="789"/>
      <c r="E49" s="784" t="s">
        <v>638</v>
      </c>
      <c r="F49" s="785">
        <f ca="1">F7</f>
        <v>6546</v>
      </c>
      <c r="G49" s="2091"/>
      <c r="H49" s="2094"/>
      <c r="I49" s="3128" t="s">
        <v>2346</v>
      </c>
      <c r="J49" s="2384">
        <v>2020</v>
      </c>
      <c r="K49" s="3161" t="s">
        <v>2352</v>
      </c>
      <c r="L49" s="2385"/>
      <c r="O49" s="2399" t="s">
        <v>2381</v>
      </c>
      <c r="P49" s="2400" t="s">
        <v>2406</v>
      </c>
      <c r="Q49" s="2401">
        <f ca="1">J60</f>
        <v>1765</v>
      </c>
      <c r="R49" s="2400" t="s">
        <v>2382</v>
      </c>
    </row>
    <row r="50" spans="1:18" s="2060" customFormat="1" ht="18" customHeight="1" thickBot="1">
      <c r="A50" s="786"/>
      <c r="B50" s="787"/>
      <c r="C50" s="788"/>
      <c r="D50" s="789"/>
      <c r="E50" s="784" t="s">
        <v>639</v>
      </c>
      <c r="F50" s="785">
        <f ca="1">F8</f>
        <v>365</v>
      </c>
      <c r="G50" s="2096"/>
      <c r="H50" s="2094"/>
      <c r="I50" s="3128" t="s">
        <v>2347</v>
      </c>
      <c r="J50" s="3156">
        <f>SUMPRODUCT((I63:I65=J47)*(J62:L62=J48)*(J63:L65))</f>
        <v>60</v>
      </c>
      <c r="K50" s="3161" t="s">
        <v>2353</v>
      </c>
      <c r="L50" s="2385"/>
      <c r="O50" s="2402" t="s">
        <v>2383</v>
      </c>
      <c r="P50" s="2400" t="s">
        <v>2407</v>
      </c>
      <c r="Q50" s="2401">
        <f ca="1">C29</f>
        <v>4412</v>
      </c>
      <c r="R50" s="2400" t="s">
        <v>2380</v>
      </c>
    </row>
    <row r="51" spans="1:18" s="2060" customFormat="1" ht="18" customHeight="1" thickBot="1">
      <c r="A51" s="786"/>
      <c r="B51" s="787"/>
      <c r="C51" s="788"/>
      <c r="D51" s="789"/>
      <c r="E51" s="784" t="s">
        <v>640</v>
      </c>
      <c r="F51" s="2372"/>
      <c r="H51" s="2094"/>
      <c r="I51" s="3153" t="s">
        <v>2348</v>
      </c>
      <c r="J51" s="3157">
        <f>IF(J49="",J50,J49+J50-YEAR('数据-取费表'!B2))</f>
        <v>62</v>
      </c>
      <c r="K51" s="3128" t="s">
        <v>2354</v>
      </c>
      <c r="L51" s="3164">
        <f ca="1">ROUND(-PV(INDIRECT("'数据-取费表'!h"&amp;$G$1),L48,(C39-C13*J36),0),0)</f>
        <v>7715</v>
      </c>
      <c r="O51" s="2402" t="s">
        <v>2384</v>
      </c>
      <c r="P51" s="2400" t="s">
        <v>2385</v>
      </c>
      <c r="Q51" s="2403">
        <f ca="1">J58</f>
        <v>0.4</v>
      </c>
      <c r="R51" s="2404"/>
    </row>
    <row r="52" spans="1:18" s="2060" customFormat="1" ht="18" customHeight="1" thickBot="1">
      <c r="A52" s="781" t="s">
        <v>2536</v>
      </c>
      <c r="B52" s="2495" t="s">
        <v>2459</v>
      </c>
      <c r="C52" s="799">
        <f ca="1">ROUND(IF(F52="押一",C48/12*F11,IF(F52="押二",C48/12*2*F11,IF(F52="押三",C48/12*3*F11,C53*F11))),0)</f>
        <v>0</v>
      </c>
      <c r="D52" s="2502" t="s">
        <v>2969</v>
      </c>
      <c r="E52" s="2499" t="s">
        <v>2464</v>
      </c>
      <c r="F52" s="2622"/>
      <c r="I52" s="3154" t="s">
        <v>2421</v>
      </c>
      <c r="J52" s="2386"/>
      <c r="K52" s="3154" t="s">
        <v>2420</v>
      </c>
      <c r="L52" s="2386"/>
      <c r="O52" s="2402" t="s">
        <v>2386</v>
      </c>
      <c r="P52" s="2400" t="s">
        <v>2387</v>
      </c>
      <c r="Q52" s="2403">
        <f>J52</f>
        <v>0</v>
      </c>
      <c r="R52" s="2404"/>
    </row>
    <row r="53" spans="1:18" s="2060" customFormat="1" ht="39.75" customHeight="1" thickBot="1">
      <c r="A53" s="786"/>
      <c r="B53" s="2496" t="s">
        <v>2573</v>
      </c>
      <c r="C53" s="2500"/>
      <c r="D53" s="2502"/>
      <c r="E53" s="2499"/>
      <c r="F53" s="800"/>
      <c r="I53" s="3155" t="s">
        <v>2973</v>
      </c>
      <c r="J53" s="3158">
        <f ca="1">IF(M47="住宅",IF(D1="——",MAX(J51,L48),MAX(J51,L48-'数据-取费表'!B20)),IF(D1="——",MIN(J51,L48),MIN(J51,L48-'数据-取费表'!B20)))</f>
        <v>36.58</v>
      </c>
      <c r="K53" s="3466" t="s">
        <v>2960</v>
      </c>
      <c r="L53" s="3467"/>
      <c r="O53" s="2402" t="s">
        <v>2388</v>
      </c>
      <c r="P53" s="2400" t="s">
        <v>2389</v>
      </c>
      <c r="Q53" s="2401">
        <f ca="1">J53</f>
        <v>36.58</v>
      </c>
      <c r="R53" s="2400" t="s">
        <v>2390</v>
      </c>
    </row>
    <row r="54" spans="1:18" s="2060" customFormat="1" ht="18" customHeight="1" thickBot="1">
      <c r="A54" s="2538" t="s">
        <v>2467</v>
      </c>
      <c r="B54" s="2539" t="s">
        <v>2460</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2391</v>
      </c>
      <c r="P54" s="2400" t="s">
        <v>2408</v>
      </c>
      <c r="Q54" s="2401">
        <f ca="1">Q48+Q49</f>
        <v>12395</v>
      </c>
      <c r="R54" s="2404" t="s">
        <v>2392</v>
      </c>
    </row>
    <row r="55" spans="1:18" s="2060" customFormat="1" ht="18" customHeight="1" thickTop="1" thickBot="1">
      <c r="A55" s="797">
        <v>2</v>
      </c>
      <c r="B55" s="798" t="s">
        <v>644</v>
      </c>
      <c r="C55" s="799">
        <f ca="1">C13</f>
        <v>4412</v>
      </c>
      <c r="D55" s="795"/>
      <c r="E55" s="795"/>
      <c r="F55" s="800"/>
      <c r="I55" s="3167" t="s">
        <v>2355</v>
      </c>
      <c r="J55" s="3103">
        <f ca="1">ROUND(IF(J47="钢混",J57/J50,1-(1-2%)*(J50-J57)/J50),3)</f>
        <v>0.39</v>
      </c>
      <c r="K55" s="3168" t="s">
        <v>2356</v>
      </c>
      <c r="L55" s="2387"/>
      <c r="O55" s="2405" t="s">
        <v>2411</v>
      </c>
      <c r="P55" s="1592"/>
      <c r="Q55" s="1604"/>
      <c r="R55" s="1592"/>
    </row>
    <row r="56" spans="1:18" s="2060" customFormat="1" ht="42.75" customHeight="1" thickBot="1">
      <c r="A56" s="1650"/>
      <c r="B56" s="2232" t="s">
        <v>2303</v>
      </c>
      <c r="C56" s="53">
        <f ca="1">C29</f>
        <v>4412</v>
      </c>
      <c r="D56" s="3180"/>
      <c r="E56" s="784"/>
      <c r="F56" s="809"/>
      <c r="I56" s="3169" t="s">
        <v>2357</v>
      </c>
      <c r="J56" s="3179" t="s">
        <v>2994</v>
      </c>
      <c r="K56" s="3128" t="s">
        <v>2362</v>
      </c>
      <c r="L56" s="1909" t="str">
        <f ca="1">IF(L48&lt;J51,"——",L48-J51)</f>
        <v>——</v>
      </c>
      <c r="O56" s="2396" t="s">
        <v>2375</v>
      </c>
      <c r="P56" s="2397" t="s">
        <v>2376</v>
      </c>
      <c r="Q56" s="2398" t="s">
        <v>2377</v>
      </c>
      <c r="R56" s="2397" t="s">
        <v>2378</v>
      </c>
    </row>
    <row r="57" spans="1:18" s="2060" customFormat="1" ht="28.5" customHeight="1" thickBot="1">
      <c r="A57" s="797" t="s">
        <v>1748</v>
      </c>
      <c r="B57" s="798" t="s">
        <v>651</v>
      </c>
      <c r="C57" s="799">
        <f ca="1">ROUND(C58+C63+C64+C65,0)</f>
        <v>101</v>
      </c>
      <c r="D57" s="26" t="s">
        <v>1750</v>
      </c>
      <c r="E57" s="3186"/>
      <c r="F57" s="56"/>
      <c r="I57" s="3170" t="s">
        <v>2358</v>
      </c>
      <c r="J57" s="3171">
        <f ca="1">IF(OR(M47="住宅",J51&lt;L48,J56="是"),"——",J51-L48)</f>
        <v>23.42</v>
      </c>
      <c r="K57" s="3128" t="s">
        <v>2363</v>
      </c>
      <c r="L57" s="1909" t="str">
        <f ca="1">IF(L48&lt;J51,"——",IF(L55="比较法",L49,IF(L55="基准地价",L50,L51)))</f>
        <v>——</v>
      </c>
      <c r="O57" s="2399" t="s">
        <v>2379</v>
      </c>
      <c r="P57" s="2400" t="s">
        <v>2409</v>
      </c>
      <c r="Q57" s="2401">
        <f ca="1">C40+J29</f>
        <v>10630</v>
      </c>
      <c r="R57" s="2400" t="s">
        <v>2380</v>
      </c>
    </row>
    <row r="58" spans="1:18" s="2060" customFormat="1" ht="28.5" customHeight="1" thickBot="1">
      <c r="A58" s="1649" t="s">
        <v>1824</v>
      </c>
      <c r="B58" s="784" t="s">
        <v>656</v>
      </c>
      <c r="C58" s="53">
        <f ca="1">ROUND(IF(项目基本情况!B11="自然人",C47*F58,C59+C60+C61),1)</f>
        <v>3.6</v>
      </c>
      <c r="D58" s="3181" t="s">
        <v>657</v>
      </c>
      <c r="E58" s="3180" t="s">
        <v>690</v>
      </c>
      <c r="F58" s="810" t="str">
        <f ca="1">IF(项目基本情况!B11="企业","",IF(INDIRECT("'数据-取费表'!c"&amp;$G$1)="住宅",5%,IF(F48*F49*F50/12/(1+'数据-取费表'!C42)&gt;20000,12%,7%)))</f>
        <v/>
      </c>
      <c r="I58" s="3170" t="s">
        <v>2359</v>
      </c>
      <c r="J58" s="3104">
        <f ca="1">IF(J55&lt;0.4,0.4,J55)</f>
        <v>0.4</v>
      </c>
      <c r="K58" s="3128" t="s">
        <v>2364</v>
      </c>
      <c r="L58" s="1909" t="e">
        <f ca="1">ROUND(POWER(1+L52,L47-L48)*(POWER(1+L52,L48)-1)/(POWER(1+L52,L47)-1),4)</f>
        <v>#DIV/0!</v>
      </c>
      <c r="O58" s="2399" t="s">
        <v>2381</v>
      </c>
      <c r="P58" s="2400" t="s">
        <v>2412</v>
      </c>
      <c r="Q58" s="2401">
        <f ca="1">L60</f>
        <v>0</v>
      </c>
      <c r="R58" s="2404" t="s">
        <v>2414</v>
      </c>
    </row>
    <row r="59" spans="1:18" s="2060" customFormat="1" ht="28.5" customHeight="1" thickBot="1">
      <c r="A59" s="1648" t="s">
        <v>1831</v>
      </c>
      <c r="B59" s="784" t="s">
        <v>660</v>
      </c>
      <c r="C59" s="53">
        <f ca="1">ROUND(C47*F59/1.05,1)</f>
        <v>0</v>
      </c>
      <c r="D59" s="3180" t="s">
        <v>661</v>
      </c>
      <c r="E59" s="784" t="s">
        <v>1747</v>
      </c>
      <c r="F59" s="809">
        <f t="shared" ref="F59:F65" si="0">F32</f>
        <v>5.6000000000000001E-2</v>
      </c>
      <c r="I59" s="3170" t="s">
        <v>2360</v>
      </c>
      <c r="J59" s="3171">
        <f ca="1">IF(OR(M47="住宅",J51&lt;L48,J56="是"),"——",ROUND(C29*J58,0))</f>
        <v>1765</v>
      </c>
      <c r="K59" s="3128"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2383</v>
      </c>
      <c r="P59" s="2400" t="s">
        <v>2413</v>
      </c>
      <c r="Q59" s="2401">
        <f>IF(L55="比较法",L49,IF(L55="基准地价",L50,0))</f>
        <v>0</v>
      </c>
      <c r="R59" s="2400" t="s">
        <v>2380</v>
      </c>
    </row>
    <row r="60" spans="1:18" s="2060" customFormat="1" ht="18" customHeight="1" thickBot="1">
      <c r="A60" s="1648" t="s">
        <v>1832</v>
      </c>
      <c r="B60" s="784" t="s">
        <v>664</v>
      </c>
      <c r="C60" s="53">
        <f ca="1">IF(D60="按租金收入计税",ROUND(C47*F60,1),IF(D60="按房产原值计税",ROUND(C56*F60*0.7,1),INDIRECT("'数据-取费表'!Aj"&amp;$G$1)))</f>
        <v>0</v>
      </c>
      <c r="D60" s="3180" t="str">
        <f>D33</f>
        <v>按租金收入计税</v>
      </c>
      <c r="E60" s="784" t="s">
        <v>1747</v>
      </c>
      <c r="F60" s="809">
        <f t="shared" si="0"/>
        <v>0.12</v>
      </c>
      <c r="I60" s="3172" t="s">
        <v>2361</v>
      </c>
      <c r="J60" s="3173">
        <f ca="1">IF(OR(M47="住宅",J51&lt;L48,J56="是"),"0",ROUND(J59/(1+J52)^J53,0))</f>
        <v>1765</v>
      </c>
      <c r="K60" s="3174" t="s">
        <v>2366</v>
      </c>
      <c r="L60" s="3173">
        <f ca="1">IF(OR(M47="住宅",L48&lt;J51),0,ROUND(L57*(L58/L59-1),0))</f>
        <v>0</v>
      </c>
      <c r="O60" s="2402" t="s">
        <v>2384</v>
      </c>
      <c r="P60" s="2400" t="s">
        <v>2393</v>
      </c>
      <c r="Q60" s="2403">
        <f>L52</f>
        <v>0</v>
      </c>
      <c r="R60" s="2404"/>
    </row>
    <row r="61" spans="1:18" s="2060" customFormat="1" ht="18" customHeight="1" thickBot="1">
      <c r="A61" s="1651" t="s">
        <v>1833</v>
      </c>
      <c r="B61" s="341" t="s">
        <v>668</v>
      </c>
      <c r="C61" s="54">
        <f ca="1">ROUND(F61*F62/10000,1)</f>
        <v>3.6</v>
      </c>
      <c r="D61" s="814" t="s">
        <v>669</v>
      </c>
      <c r="E61" s="784" t="s">
        <v>670</v>
      </c>
      <c r="F61" s="640">
        <f t="shared" si="0"/>
        <v>12</v>
      </c>
      <c r="K61" s="2087"/>
      <c r="O61" s="2402" t="s">
        <v>2386</v>
      </c>
      <c r="P61" s="2400" t="s">
        <v>2394</v>
      </c>
      <c r="Q61" s="2401" t="e">
        <f ca="1">L58</f>
        <v>#DIV/0!</v>
      </c>
      <c r="R61" s="2404" t="s">
        <v>2395</v>
      </c>
    </row>
    <row r="62" spans="1:18" s="2060" customFormat="1" ht="15.75" thickBot="1">
      <c r="A62" s="815"/>
      <c r="B62" s="793"/>
      <c r="C62" s="69"/>
      <c r="D62" s="816"/>
      <c r="E62" s="784" t="s">
        <v>674</v>
      </c>
      <c r="F62" s="785">
        <f t="shared" ca="1" si="0"/>
        <v>2979.4700000000003</v>
      </c>
      <c r="I62" s="3175" t="s">
        <v>2367</v>
      </c>
      <c r="J62" s="3176" t="s">
        <v>2368</v>
      </c>
      <c r="K62" s="3176" t="s">
        <v>2369</v>
      </c>
      <c r="L62" s="3176" t="s">
        <v>2350</v>
      </c>
      <c r="M62" s="3177" t="s">
        <v>2936</v>
      </c>
      <c r="O62" s="2402" t="s">
        <v>2388</v>
      </c>
      <c r="P62" s="2400" t="str">
        <f>K59</f>
        <v>建设期及建筑物耐用年限下的土地年期修正系数Kn</v>
      </c>
      <c r="Q62" s="2401" t="e">
        <f ca="1">L59</f>
        <v>#DIV/0!</v>
      </c>
      <c r="R62" s="2404" t="s">
        <v>2397</v>
      </c>
    </row>
    <row r="63" spans="1:18" s="2060" customFormat="1" ht="15.75" thickBot="1">
      <c r="A63" s="1649" t="s">
        <v>1889</v>
      </c>
      <c r="B63" s="784" t="s">
        <v>676</v>
      </c>
      <c r="C63" s="53">
        <f ca="1">ROUND(C56*F63,1)</f>
        <v>88.2</v>
      </c>
      <c r="D63" s="3180" t="s">
        <v>691</v>
      </c>
      <c r="E63" s="784" t="s">
        <v>1747</v>
      </c>
      <c r="F63" s="817">
        <f t="shared" ca="1" si="0"/>
        <v>0.02</v>
      </c>
      <c r="I63" s="3175" t="s">
        <v>2370</v>
      </c>
      <c r="J63" s="3176">
        <v>70</v>
      </c>
      <c r="K63" s="3176">
        <v>50</v>
      </c>
      <c r="L63" s="3176">
        <v>80</v>
      </c>
      <c r="M63" s="3178">
        <v>0.02</v>
      </c>
      <c r="O63" s="2399" t="s">
        <v>2391</v>
      </c>
      <c r="P63" s="2400" t="s">
        <v>2408</v>
      </c>
      <c r="Q63" s="2401">
        <f ca="1">Q57+Q58</f>
        <v>10630</v>
      </c>
      <c r="R63" s="2404" t="s">
        <v>2392</v>
      </c>
    </row>
    <row r="64" spans="1:18" s="2060" customFormat="1" ht="16.5" thickBot="1">
      <c r="A64" s="1649" t="s">
        <v>1890</v>
      </c>
      <c r="B64" s="784" t="s">
        <v>679</v>
      </c>
      <c r="C64" s="53">
        <f ca="1">ROUND(C55*F64,1)</f>
        <v>8.8000000000000007</v>
      </c>
      <c r="D64" s="3180" t="s">
        <v>680</v>
      </c>
      <c r="E64" s="784" t="s">
        <v>1747</v>
      </c>
      <c r="F64" s="818">
        <f t="shared" ca="1" si="0"/>
        <v>2E-3</v>
      </c>
      <c r="I64" s="3175" t="s">
        <v>2371</v>
      </c>
      <c r="J64" s="3176">
        <v>50</v>
      </c>
      <c r="K64" s="3176">
        <v>35</v>
      </c>
      <c r="L64" s="3176">
        <v>60</v>
      </c>
      <c r="M64" s="846">
        <v>0</v>
      </c>
      <c r="O64" s="2405" t="s">
        <v>2415</v>
      </c>
      <c r="P64" s="1592"/>
      <c r="Q64" s="1604"/>
      <c r="R64" s="1592"/>
    </row>
    <row r="65" spans="1:18" s="2060" customFormat="1" ht="15.75" thickBot="1">
      <c r="A65" s="1649" t="s">
        <v>1891</v>
      </c>
      <c r="B65" s="784" t="s">
        <v>666</v>
      </c>
      <c r="C65" s="53">
        <f ca="1">ROUND(C47*F65,1)</f>
        <v>0</v>
      </c>
      <c r="D65" s="3180" t="s">
        <v>683</v>
      </c>
      <c r="E65" s="784" t="s">
        <v>1747</v>
      </c>
      <c r="F65" s="794">
        <f t="shared" ca="1" si="0"/>
        <v>0.02</v>
      </c>
      <c r="I65" s="3175" t="s">
        <v>2372</v>
      </c>
      <c r="J65" s="3176">
        <v>40</v>
      </c>
      <c r="K65" s="3176">
        <v>30</v>
      </c>
      <c r="L65" s="3176">
        <v>50</v>
      </c>
      <c r="M65" s="3178">
        <v>0.02</v>
      </c>
      <c r="O65" s="2396" t="s">
        <v>2375</v>
      </c>
      <c r="P65" s="2397" t="s">
        <v>2376</v>
      </c>
      <c r="Q65" s="2398" t="s">
        <v>2377</v>
      </c>
      <c r="R65" s="2397" t="s">
        <v>2378</v>
      </c>
    </row>
    <row r="66" spans="1:18" s="2060" customFormat="1" ht="24.75" thickBot="1">
      <c r="A66" s="797" t="s">
        <v>1776</v>
      </c>
      <c r="B66" s="3012" t="s">
        <v>2821</v>
      </c>
      <c r="C66" s="799">
        <f ca="1">C47-C57</f>
        <v>-101</v>
      </c>
      <c r="D66" s="3181" t="s">
        <v>700</v>
      </c>
      <c r="E66" s="3185"/>
      <c r="F66" s="820"/>
      <c r="K66" s="2087"/>
      <c r="O66" s="2399" t="s">
        <v>2379</v>
      </c>
      <c r="P66" s="2400" t="s">
        <v>2409</v>
      </c>
      <c r="Q66" s="2401">
        <f ca="1">C40+J29</f>
        <v>10630</v>
      </c>
      <c r="R66" s="2400" t="s">
        <v>2380</v>
      </c>
    </row>
    <row r="67" spans="1:18" s="2060" customFormat="1" ht="20.25" thickBot="1">
      <c r="A67" s="781" t="s">
        <v>1780</v>
      </c>
      <c r="B67" s="2233" t="s">
        <v>2302</v>
      </c>
      <c r="C67" s="783">
        <f ca="1">ROUND(C66*(1-((1+F69)/(1+F67))^F68)/(F67-F69),0)</f>
        <v>-1577</v>
      </c>
      <c r="D67" s="814" t="s">
        <v>704</v>
      </c>
      <c r="E67" s="784" t="s">
        <v>705</v>
      </c>
      <c r="F67" s="794">
        <f ca="1">F40</f>
        <v>5.5E-2</v>
      </c>
      <c r="K67" s="2087"/>
      <c r="O67" s="2399" t="s">
        <v>2381</v>
      </c>
      <c r="P67" s="2400" t="s">
        <v>2412</v>
      </c>
      <c r="Q67" s="2401">
        <f ca="1">L60</f>
        <v>0</v>
      </c>
      <c r="R67" s="2404" t="s">
        <v>2414</v>
      </c>
    </row>
    <row r="68" spans="1:18" ht="21.75" thickBot="1">
      <c r="A68" s="786"/>
      <c r="B68" s="787"/>
      <c r="C68" s="788"/>
      <c r="D68" s="821" t="s">
        <v>1808</v>
      </c>
      <c r="E68" s="784" t="s">
        <v>708</v>
      </c>
      <c r="F68" s="822">
        <f ca="1">F41</f>
        <v>36.58</v>
      </c>
      <c r="O68" s="2402" t="s">
        <v>2383</v>
      </c>
      <c r="P68" s="2400" t="s">
        <v>2413</v>
      </c>
      <c r="Q68" s="2406">
        <f ca="1">L51</f>
        <v>7715</v>
      </c>
      <c r="R68" s="2407" t="s">
        <v>2416</v>
      </c>
    </row>
    <row r="69" spans="1:18" ht="20.25" thickBot="1">
      <c r="A69" s="790"/>
      <c r="B69" s="791"/>
      <c r="C69" s="792"/>
      <c r="D69" s="816"/>
      <c r="E69" s="784" t="s">
        <v>710</v>
      </c>
      <c r="F69" s="2372"/>
      <c r="O69" s="2402" t="s">
        <v>2384</v>
      </c>
      <c r="P69" s="2408" t="s">
        <v>2398</v>
      </c>
      <c r="Q69" s="2401">
        <f ca="1">ROUND(Q70-Q71*Q72,0)</f>
        <v>455</v>
      </c>
      <c r="R69" s="2404"/>
    </row>
    <row r="70" spans="1:18" ht="15.75" thickBot="1">
      <c r="A70" s="823" t="s">
        <v>1787</v>
      </c>
      <c r="B70" s="824" t="s">
        <v>1810</v>
      </c>
      <c r="C70" s="825">
        <f ca="1">ROUND(C67*10000/F70,0)</f>
        <v>-2409</v>
      </c>
      <c r="D70" s="826" t="s">
        <v>1811</v>
      </c>
      <c r="E70" s="827" t="s">
        <v>1812</v>
      </c>
      <c r="F70" s="828">
        <f ca="1">F43</f>
        <v>6546</v>
      </c>
      <c r="O70" s="2402" t="s">
        <v>2399</v>
      </c>
      <c r="P70" s="2408" t="s">
        <v>2400</v>
      </c>
      <c r="Q70" s="2401">
        <f ca="1">C39</f>
        <v>455</v>
      </c>
      <c r="R70" s="2400" t="s">
        <v>2380</v>
      </c>
    </row>
    <row r="71" spans="1:18" ht="15.75" thickBot="1">
      <c r="O71" s="2402" t="s">
        <v>2401</v>
      </c>
      <c r="P71" s="2408" t="s">
        <v>2402</v>
      </c>
      <c r="Q71" s="2401">
        <f ca="1">C13</f>
        <v>4412</v>
      </c>
      <c r="R71" s="2400" t="s">
        <v>2380</v>
      </c>
    </row>
    <row r="72" spans="1:18" ht="15.75" thickBot="1">
      <c r="O72" s="2402" t="s">
        <v>2403</v>
      </c>
      <c r="P72" s="2408" t="s">
        <v>2404</v>
      </c>
      <c r="Q72" s="2403">
        <f ca="1">J36</f>
        <v>0</v>
      </c>
      <c r="R72" s="2404"/>
    </row>
    <row r="73" spans="1:18" ht="15.75" thickBot="1">
      <c r="O73" s="2402" t="s">
        <v>2386</v>
      </c>
      <c r="P73" s="2400" t="s">
        <v>2393</v>
      </c>
      <c r="Q73" s="2403">
        <f>L52</f>
        <v>0</v>
      </c>
      <c r="R73" s="2404"/>
    </row>
    <row r="74" spans="1:18" ht="20.25" thickBot="1">
      <c r="O74" s="2402" t="s">
        <v>2388</v>
      </c>
      <c r="P74" s="2400" t="s">
        <v>2394</v>
      </c>
      <c r="Q74" s="2401" t="e">
        <f ca="1">L58</f>
        <v>#DIV/0!</v>
      </c>
      <c r="R74" s="2404" t="s">
        <v>2395</v>
      </c>
    </row>
    <row r="75" spans="1:18" ht="15.75" thickBot="1">
      <c r="O75" s="2402" t="s">
        <v>2417</v>
      </c>
      <c r="P75" s="2400" t="str">
        <f>K59</f>
        <v>建设期及建筑物耐用年限下的土地年期修正系数Kn</v>
      </c>
      <c r="Q75" s="2401" t="e">
        <f ca="1">L59</f>
        <v>#DIV/0!</v>
      </c>
      <c r="R75" s="2404" t="s">
        <v>2397</v>
      </c>
    </row>
    <row r="76" spans="1:18" ht="15.75" thickBot="1">
      <c r="O76" s="2399" t="s">
        <v>2391</v>
      </c>
      <c r="P76" s="2400" t="s">
        <v>2408</v>
      </c>
      <c r="Q76" s="2401">
        <f ca="1">Q66+Q67</f>
        <v>10630</v>
      </c>
      <c r="R76" s="240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21" priority="6">
      <formula>$L$48&gt;$J$51</formula>
    </cfRule>
  </conditionalFormatting>
  <conditionalFormatting sqref="I55">
    <cfRule type="expression" dxfId="20" priority="7">
      <formula>$J$51&gt;$L$48</formula>
    </cfRule>
  </conditionalFormatting>
  <conditionalFormatting sqref="I60">
    <cfRule type="expression" dxfId="19" priority="5">
      <formula>$J$51&gt;$L$48</formula>
    </cfRule>
  </conditionalFormatting>
  <conditionalFormatting sqref="K60">
    <cfRule type="expression" dxfId="18" priority="4">
      <formula>$L$48&gt;$J$51</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3">
    <cfRule type="expression" dxfId="15"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0" zoomScale="80" zoomScaleNormal="80" workbookViewId="0">
      <selection activeCell="H31" sqref="H31"/>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3015</v>
      </c>
      <c r="D1" s="3127" t="s">
        <v>3415</v>
      </c>
      <c r="E1" s="2388" t="s">
        <v>2374</v>
      </c>
      <c r="F1" s="2389">
        <f ca="1">J53</f>
        <v>46.59</v>
      </c>
      <c r="G1" s="774">
        <f>MATCH(C1,'数据-取费表'!A6:A16,0)+5</f>
        <v>10</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1726</v>
      </c>
      <c r="B2" s="775">
        <f ca="1">C40+J29+L46</f>
        <v>11522</v>
      </c>
      <c r="C2" s="2058"/>
      <c r="D2" s="2056"/>
      <c r="E2" s="2057"/>
      <c r="F2" s="2057"/>
      <c r="G2" s="1590"/>
      <c r="H2" s="2058"/>
      <c r="I2" s="2058"/>
      <c r="J2" s="2058"/>
      <c r="K2" s="2059"/>
      <c r="L2" s="2058"/>
      <c r="M2" s="2058"/>
    </row>
    <row r="3" spans="1:33" ht="18" customHeight="1" thickBot="1">
      <c r="A3" s="833" t="s">
        <v>1727</v>
      </c>
      <c r="B3" s="834">
        <f ca="1">IF(ISERROR(B2*10000/F43),0,ROUND(B2*10000/F43,0))</f>
        <v>6132</v>
      </c>
      <c r="C3" s="2058"/>
      <c r="D3" s="2056"/>
      <c r="E3" s="2057"/>
      <c r="F3" s="2057"/>
      <c r="G3" s="1590"/>
      <c r="H3" s="776" t="s">
        <v>695</v>
      </c>
      <c r="I3" s="1363"/>
      <c r="J3" s="1363"/>
      <c r="K3" s="1591"/>
      <c r="L3" s="1363"/>
      <c r="M3" s="1363"/>
    </row>
    <row r="4" spans="1:33" ht="18" customHeight="1">
      <c r="A4" s="777" t="s">
        <v>630</v>
      </c>
      <c r="B4" s="778" t="s">
        <v>631</v>
      </c>
      <c r="C4" s="778" t="s">
        <v>1730</v>
      </c>
      <c r="D4" s="778" t="s">
        <v>633</v>
      </c>
      <c r="E4" s="779" t="s">
        <v>1731</v>
      </c>
      <c r="F4" s="780"/>
      <c r="G4" s="1592"/>
      <c r="H4" s="777" t="s">
        <v>1732</v>
      </c>
      <c r="I4" s="778" t="s">
        <v>631</v>
      </c>
      <c r="J4" s="778" t="s">
        <v>1734</v>
      </c>
      <c r="K4" s="778" t="s">
        <v>1735</v>
      </c>
      <c r="L4" s="779" t="s">
        <v>634</v>
      </c>
      <c r="M4" s="780"/>
    </row>
    <row r="5" spans="1:33" ht="18" customHeight="1">
      <c r="A5" s="781">
        <v>1</v>
      </c>
      <c r="B5" s="782" t="s">
        <v>2458</v>
      </c>
      <c r="C5" s="55">
        <f ca="1">C6+C10+C12</f>
        <v>684</v>
      </c>
      <c r="D5" s="2497" t="s">
        <v>2461</v>
      </c>
      <c r="E5" s="2491"/>
      <c r="F5" s="2492"/>
      <c r="G5" s="1592"/>
      <c r="H5" s="781">
        <v>1</v>
      </c>
      <c r="I5" s="782" t="s">
        <v>2458</v>
      </c>
      <c r="J5" s="55">
        <f ca="1">J6+J10+J12</f>
        <v>0</v>
      </c>
      <c r="K5" s="2497" t="s">
        <v>2461</v>
      </c>
      <c r="L5" s="2491"/>
      <c r="M5" s="2492"/>
    </row>
    <row r="6" spans="1:33" ht="18" customHeight="1">
      <c r="A6" s="1831" t="s">
        <v>1824</v>
      </c>
      <c r="B6" s="3450" t="s">
        <v>2463</v>
      </c>
      <c r="C6" s="783">
        <f ca="1">ROUND(F6*F8*F7*(1-F9)/10000,0)</f>
        <v>684</v>
      </c>
      <c r="D6" s="2498" t="s">
        <v>2462</v>
      </c>
      <c r="E6" s="784" t="s">
        <v>1738</v>
      </c>
      <c r="F6" s="785">
        <f ca="1">INDIRECT("'数据-取费表'!u"&amp;$G$1)</f>
        <v>1500</v>
      </c>
      <c r="G6" s="1592"/>
      <c r="H6" s="2505" t="s">
        <v>1824</v>
      </c>
      <c r="I6" s="3450" t="s">
        <v>2463</v>
      </c>
      <c r="J6" s="783">
        <f ca="1">ROUND(M6*M8*M7*(1-M9)/10000,0)</f>
        <v>0</v>
      </c>
      <c r="K6" s="341" t="s">
        <v>636</v>
      </c>
      <c r="L6" s="784" t="s">
        <v>1738</v>
      </c>
      <c r="M6" s="785">
        <f ca="1">INDIRECT("'数据-取费表'!z"&amp;$G$1)</f>
        <v>0</v>
      </c>
    </row>
    <row r="7" spans="1:33" ht="18" customHeight="1">
      <c r="A7" s="2501"/>
      <c r="B7" s="3451"/>
      <c r="C7" s="788"/>
      <c r="D7" s="789"/>
      <c r="E7" s="784" t="s">
        <v>638</v>
      </c>
      <c r="F7" s="785">
        <f ca="1">IF(INDIRECT("'数据-取费表'!ah"&amp;$G$1)="",INDIRECT("'数据-取费表'!k"&amp;$G$1),INDIRECT("'数据-取费表'!ah"&amp;$G$1))</f>
        <v>422</v>
      </c>
      <c r="G7" s="1592"/>
      <c r="H7" s="2490"/>
      <c r="I7" s="3451"/>
      <c r="J7" s="788"/>
      <c r="K7" s="789"/>
      <c r="L7" s="784" t="s">
        <v>638</v>
      </c>
      <c r="M7" s="785">
        <f ca="1">F7</f>
        <v>422</v>
      </c>
    </row>
    <row r="8" spans="1:33" ht="18" customHeight="1">
      <c r="A8" s="2494"/>
      <c r="B8" s="3452"/>
      <c r="C8" s="788"/>
      <c r="D8" s="789"/>
      <c r="E8" s="784" t="s">
        <v>639</v>
      </c>
      <c r="F8" s="785">
        <f ca="1">INDIRECT("'数据-取费表'!ai"&amp;$G$1)</f>
        <v>12</v>
      </c>
      <c r="G8" s="1592"/>
      <c r="H8" s="2490"/>
      <c r="I8" s="3452"/>
      <c r="J8" s="788"/>
      <c r="K8" s="789"/>
      <c r="L8" s="784" t="s">
        <v>639</v>
      </c>
      <c r="M8" s="785">
        <f ca="1">INDIRECT("'数据-取费表'!ai"&amp;$G$1)</f>
        <v>12</v>
      </c>
    </row>
    <row r="9" spans="1:33" ht="18" customHeight="1">
      <c r="A9" s="786"/>
      <c r="B9" s="3453"/>
      <c r="C9" s="788"/>
      <c r="D9" s="789"/>
      <c r="E9" s="784" t="s">
        <v>640</v>
      </c>
      <c r="F9" s="794">
        <f ca="1">INDIRECT("'数据-取费表'!w"&amp;$G$1)</f>
        <v>0.1</v>
      </c>
      <c r="G9" s="1592"/>
      <c r="H9" s="2506"/>
      <c r="I9" s="3452"/>
      <c r="J9" s="788"/>
      <c r="K9" s="789"/>
      <c r="L9" s="795" t="s">
        <v>640</v>
      </c>
      <c r="M9" s="796">
        <f ca="1">INDIRECT("'数据-取费表'!ab"&amp;$G$1)</f>
        <v>0</v>
      </c>
    </row>
    <row r="10" spans="1:33" ht="18" customHeight="1">
      <c r="A10" s="1831" t="s">
        <v>1834</v>
      </c>
      <c r="B10" s="2495" t="s">
        <v>2459</v>
      </c>
      <c r="C10" s="799">
        <f ca="1">ROUND(IF(F10="押一",C6/12*F11,IF(F10="押二",C6/12*2*F11,IF(F10="押三",C6/12*3*F11,C11*F11))),0)</f>
        <v>0</v>
      </c>
      <c r="D10" s="2502" t="s">
        <v>2968</v>
      </c>
      <c r="E10" s="2499" t="s">
        <v>2464</v>
      </c>
      <c r="F10" s="2622" t="s">
        <v>3428</v>
      </c>
      <c r="G10" s="1592"/>
      <c r="H10" s="2562" t="s">
        <v>1834</v>
      </c>
      <c r="I10" s="2567" t="s">
        <v>2459</v>
      </c>
      <c r="J10" s="783">
        <f ca="1">ROUND(IF(M10="押一",J6/12*M11,IF(M10="押二",J6/12*2*M11,IF(M10="押三",J6/12*3*M11,J11*M11))),0)</f>
        <v>0</v>
      </c>
      <c r="K10" s="2502" t="s">
        <v>2968</v>
      </c>
      <c r="L10" s="2499" t="s">
        <v>2464</v>
      </c>
      <c r="M10" s="2622"/>
    </row>
    <row r="11" spans="1:33" ht="18" customHeight="1">
      <c r="A11" s="790"/>
      <c r="B11" s="2496" t="s">
        <v>2573</v>
      </c>
      <c r="C11" s="2500"/>
      <c r="D11" s="789"/>
      <c r="E11" s="2499" t="s">
        <v>2456</v>
      </c>
      <c r="F11" s="796">
        <f ca="1">'数据-取费表'!B39</f>
        <v>1.4999999999999999E-2</v>
      </c>
      <c r="G11" s="1592"/>
      <c r="H11" s="2563"/>
      <c r="I11" s="2496" t="s">
        <v>2573</v>
      </c>
      <c r="J11" s="2500"/>
      <c r="K11" s="2564"/>
      <c r="L11" s="2499" t="s">
        <v>2456</v>
      </c>
      <c r="M11" s="2493">
        <f ca="1">'数据-取费表'!B39</f>
        <v>1.4999999999999999E-2</v>
      </c>
    </row>
    <row r="12" spans="1:33" ht="18" customHeight="1" thickBot="1">
      <c r="A12" s="2538" t="s">
        <v>2467</v>
      </c>
      <c r="B12" s="2539" t="s">
        <v>2460</v>
      </c>
      <c r="C12" s="2540"/>
      <c r="D12" s="2541"/>
      <c r="E12" s="2542"/>
      <c r="F12" s="2543"/>
      <c r="G12" s="1592"/>
      <c r="H12" s="2552" t="s">
        <v>2467</v>
      </c>
      <c r="I12" s="2565" t="s">
        <v>2460</v>
      </c>
      <c r="J12" s="2566"/>
      <c r="K12" s="2541"/>
      <c r="L12" s="2542"/>
      <c r="M12" s="2555"/>
    </row>
    <row r="13" spans="1:33" ht="18" customHeight="1" thickTop="1">
      <c r="A13" s="1830">
        <v>2</v>
      </c>
      <c r="B13" s="1828" t="s">
        <v>644</v>
      </c>
      <c r="C13" s="792">
        <f ca="1">ROUND(C29*F13,0)</f>
        <v>7340</v>
      </c>
      <c r="D13" s="1835" t="s">
        <v>2298</v>
      </c>
      <c r="E13" s="1835" t="s">
        <v>643</v>
      </c>
      <c r="F13" s="2537">
        <f ca="1">INDIRECT("'数据-取费表'!y"&amp;$G$1)</f>
        <v>1</v>
      </c>
      <c r="G13" s="1592"/>
      <c r="H13" s="1830">
        <v>2</v>
      </c>
      <c r="I13" s="1828" t="s">
        <v>644</v>
      </c>
      <c r="J13" s="1820">
        <f ca="1">ROUND(J14*J15,0)</f>
        <v>0</v>
      </c>
      <c r="K13" s="1822" t="s">
        <v>642</v>
      </c>
      <c r="L13" s="2553"/>
      <c r="M13" s="2554"/>
    </row>
    <row r="14" spans="1:33" ht="18" customHeight="1">
      <c r="A14" s="1648" t="s">
        <v>1831</v>
      </c>
      <c r="B14" s="784" t="s">
        <v>645</v>
      </c>
      <c r="C14" s="804">
        <f ca="1">INDIRECT("'数据-取费表'!m"&amp;$G$1)+INDIRECT("'数据-取费表'!t"&amp;$G$1)</f>
        <v>5389</v>
      </c>
      <c r="D14" s="3181" t="s">
        <v>1745</v>
      </c>
      <c r="E14" s="3182"/>
      <c r="F14" s="805"/>
      <c r="G14" s="1592"/>
      <c r="H14" s="1649" t="s">
        <v>1824</v>
      </c>
      <c r="I14" s="2232" t="s">
        <v>2824</v>
      </c>
      <c r="J14" s="53">
        <f ca="1">C29</f>
        <v>7340</v>
      </c>
      <c r="K14" s="26"/>
      <c r="L14" s="801"/>
      <c r="M14" s="802"/>
    </row>
    <row r="15" spans="1:33" s="2065" customFormat="1" ht="18" customHeight="1" thickBot="1">
      <c r="A15" s="1648" t="s">
        <v>1832</v>
      </c>
      <c r="B15" s="784" t="s">
        <v>647</v>
      </c>
      <c r="C15" s="53">
        <f ca="1">ROUND(C14*F15,0)</f>
        <v>162</v>
      </c>
      <c r="D15" s="806" t="s">
        <v>648</v>
      </c>
      <c r="E15" s="806" t="s">
        <v>1747</v>
      </c>
      <c r="F15" s="807">
        <f>'数据-取费表'!B33</f>
        <v>0.03</v>
      </c>
      <c r="G15" s="1593"/>
      <c r="H15" s="2552" t="s">
        <v>1889</v>
      </c>
      <c r="I15" s="2547" t="s">
        <v>643</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1886</v>
      </c>
      <c r="B16" s="784" t="s">
        <v>650</v>
      </c>
      <c r="C16" s="53">
        <f ca="1">ROUND(INDIRECT("'数据-取费表'!m"&amp;$G$1)*F16,0)</f>
        <v>0</v>
      </c>
      <c r="D16" s="784" t="s">
        <v>648</v>
      </c>
      <c r="E16" s="784" t="s">
        <v>1747</v>
      </c>
      <c r="F16" s="809">
        <f ca="1">IF(INDIRECT("'数据-取费表'!c"&amp;$G$1)="住宅",'数据-取费表'!B34,0)</f>
        <v>0</v>
      </c>
      <c r="G16" s="1592"/>
      <c r="H16" s="1830" t="s">
        <v>1748</v>
      </c>
      <c r="I16" s="1828" t="s">
        <v>1749</v>
      </c>
      <c r="J16" s="792">
        <f ca="1">ROUND(J17+J22+J23+J24,0)</f>
        <v>737</v>
      </c>
      <c r="K16" s="1822" t="s">
        <v>1750</v>
      </c>
      <c r="L16" s="3183"/>
      <c r="M16" s="2492"/>
    </row>
    <row r="17" spans="1:33" s="2065" customFormat="1" ht="18" customHeight="1">
      <c r="A17" s="1648" t="s">
        <v>1887</v>
      </c>
      <c r="B17" s="784" t="s">
        <v>653</v>
      </c>
      <c r="C17" s="53">
        <f ca="1">ROUND(F17*(F43+INDIRECT("'数据-取费表'!S"&amp;$G$1))/10000,0)</f>
        <v>431</v>
      </c>
      <c r="D17" s="784" t="s">
        <v>654</v>
      </c>
      <c r="E17" s="784" t="s">
        <v>1752</v>
      </c>
      <c r="F17" s="56">
        <f>'数据-取费表'!B35</f>
        <v>200</v>
      </c>
      <c r="G17" s="1593"/>
      <c r="H17" s="1649" t="s">
        <v>1824</v>
      </c>
      <c r="I17" s="784" t="s">
        <v>656</v>
      </c>
      <c r="J17" s="53">
        <f ca="1">ROUND(IF(项目基本情况!B11="自然人",J5*M17,J18+J19+J20),0)</f>
        <v>627</v>
      </c>
      <c r="K17" s="3181" t="s">
        <v>657</v>
      </c>
      <c r="L17" s="3180" t="s">
        <v>658</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659</v>
      </c>
      <c r="C18" s="53">
        <f ca="1">ROUND(C14*F18,0)</f>
        <v>81</v>
      </c>
      <c r="D18" s="784" t="s">
        <v>648</v>
      </c>
      <c r="E18" s="784" t="s">
        <v>1747</v>
      </c>
      <c r="F18" s="809">
        <f>'数据-取费表'!B36</f>
        <v>1.4999999999999999E-2</v>
      </c>
      <c r="G18" s="1593"/>
      <c r="H18" s="1648" t="s">
        <v>1831</v>
      </c>
      <c r="I18" s="784" t="s">
        <v>1755</v>
      </c>
      <c r="J18" s="53">
        <f ca="1">ROUND(J5*M18/1.05,1)</f>
        <v>0</v>
      </c>
      <c r="K18" s="3180" t="s">
        <v>661</v>
      </c>
      <c r="L18" s="784" t="s">
        <v>1747</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662</v>
      </c>
      <c r="C19" s="53">
        <f ca="1">SUM(C14:C18)</f>
        <v>6063</v>
      </c>
      <c r="D19" s="261" t="s">
        <v>1757</v>
      </c>
      <c r="E19" s="3186"/>
      <c r="F19" s="56"/>
      <c r="G19" s="1592"/>
      <c r="H19" s="1648" t="s">
        <v>1832</v>
      </c>
      <c r="I19" s="784" t="s">
        <v>664</v>
      </c>
      <c r="J19" s="53">
        <f ca="1">IF(K19="按租金收入计税",ROUND(J5*M19,1),ROUND(C29*F33*0.7,1))</f>
        <v>616.6</v>
      </c>
      <c r="K19" s="811" t="s">
        <v>665</v>
      </c>
      <c r="L19" s="784" t="s">
        <v>1747</v>
      </c>
      <c r="M19" s="809">
        <f>IF(K19="按租金收入计税",'数据-取费表'!B51,'数据-取费表'!B50)</f>
        <v>1.2E-2</v>
      </c>
    </row>
    <row r="20" spans="1:33" s="2065" customFormat="1" ht="18" customHeight="1">
      <c r="A20" s="1649" t="s">
        <v>1889</v>
      </c>
      <c r="B20" s="784" t="s">
        <v>666</v>
      </c>
      <c r="C20" s="53">
        <f ca="1">ROUND(C19*F20,0)</f>
        <v>121</v>
      </c>
      <c r="D20" s="812" t="s">
        <v>667</v>
      </c>
      <c r="E20" s="784" t="s">
        <v>1747</v>
      </c>
      <c r="F20" s="809">
        <f>'数据-取费表'!B37</f>
        <v>0.02</v>
      </c>
      <c r="G20" s="1593"/>
      <c r="H20" s="1651" t="s">
        <v>1880</v>
      </c>
      <c r="I20" s="341" t="s">
        <v>1760</v>
      </c>
      <c r="J20" s="54">
        <f ca="1">ROUND(M20*M21/10000,0)</f>
        <v>10</v>
      </c>
      <c r="K20" s="814" t="s">
        <v>669</v>
      </c>
      <c r="L20" s="784" t="s">
        <v>1762</v>
      </c>
      <c r="M20" s="640">
        <f>'数据-取费表'!B52</f>
        <v>12</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671</v>
      </c>
      <c r="C21" s="53" t="s">
        <v>1764</v>
      </c>
      <c r="D21" s="812" t="s">
        <v>2299</v>
      </c>
      <c r="E21" s="784" t="s">
        <v>673</v>
      </c>
      <c r="F21" s="809">
        <f>'数据-取费表'!B38</f>
        <v>0.02</v>
      </c>
      <c r="G21" s="1593"/>
      <c r="H21" s="2507"/>
      <c r="I21" s="793"/>
      <c r="J21" s="69"/>
      <c r="K21" s="816"/>
      <c r="L21" s="784" t="s">
        <v>1766</v>
      </c>
      <c r="M21" s="785">
        <f ca="1">INDIRECT("'数据-取费表'!r"&amp;$G$1)</f>
        <v>8552.91</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1767</v>
      </c>
      <c r="C22" s="53"/>
      <c r="D22" s="2573" t="str">
        <f>IF(F23&lt;=1,"单利计息。","复利计息。")&amp;"建造成本、管理费用、销售费用产生的利息。"</f>
        <v>复利计息。建造成本、管理费用、销售费用产生的利息。</v>
      </c>
      <c r="E22" s="3186"/>
      <c r="F22" s="56"/>
      <c r="G22" s="1592"/>
      <c r="H22" s="1649" t="s">
        <v>1889</v>
      </c>
      <c r="I22" s="784" t="s">
        <v>1768</v>
      </c>
      <c r="J22" s="53">
        <f ca="1">ROUND(J14*M22,0)</f>
        <v>110</v>
      </c>
      <c r="K22" s="3180" t="s">
        <v>1769</v>
      </c>
      <c r="L22" s="784" t="s">
        <v>1747</v>
      </c>
      <c r="M22" s="817">
        <f ca="1">INDIRECT("'数据-取费表'!Ak"&amp;$G$1)</f>
        <v>1.4999999999999999E-2</v>
      </c>
    </row>
    <row r="23" spans="1:33" s="2065" customFormat="1" ht="18" customHeight="1">
      <c r="A23" s="1648" t="s">
        <v>1831</v>
      </c>
      <c r="B23" s="784" t="s">
        <v>2535</v>
      </c>
      <c r="C23" s="53">
        <f ca="1">ROUND(IF('数据-取费表'!B22&lt;=1,(C19+C20)*F24*F23/2,(C19+C20)*(POWER((1+F24),F23/2)-1)),0)</f>
        <v>294</v>
      </c>
      <c r="D23" s="2572" t="str">
        <f>IF(F23&lt;=1,"(建造成本+管理费用)×利率×(建设周期÷2)","(建造成本+管理费用)×((1+利率)^(建设周期÷2)-1)")</f>
        <v>(建造成本+管理费用)×((1+利率)^(建设周期÷2)-1)</v>
      </c>
      <c r="E23" s="784" t="s">
        <v>678</v>
      </c>
      <c r="F23" s="640">
        <f>'数据-取费表'!B20</f>
        <v>2</v>
      </c>
      <c r="G23" s="1593"/>
      <c r="H23" s="1649" t="s">
        <v>1890</v>
      </c>
      <c r="I23" s="784" t="s">
        <v>679</v>
      </c>
      <c r="J23" s="53">
        <f ca="1">ROUND(J13*M23,0)</f>
        <v>0</v>
      </c>
      <c r="K23" s="3180" t="s">
        <v>680</v>
      </c>
      <c r="L23" s="784" t="s">
        <v>1747</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1E-3</v>
      </c>
      <c r="D24" s="2572" t="str">
        <f>IF(F23&lt;=1,"销售费用×利率×(建设周期÷2)","销售费用×((1+利率)^(建设周期÷2)-1)")</f>
        <v>销售费用×((1+利率)^(建设周期÷2)-1)</v>
      </c>
      <c r="E24" s="784" t="s">
        <v>682</v>
      </c>
      <c r="F24" s="819">
        <f ca="1">'数据-取费表'!B40</f>
        <v>4.7500000000000001E-2</v>
      </c>
      <c r="G24" s="1593"/>
      <c r="H24" s="2552" t="s">
        <v>1891</v>
      </c>
      <c r="I24" s="2547" t="s">
        <v>666</v>
      </c>
      <c r="J24" s="2545">
        <f ca="1">ROUND(J5*M24,0)</f>
        <v>0</v>
      </c>
      <c r="K24" s="2546" t="s">
        <v>683</v>
      </c>
      <c r="L24" s="2547" t="s">
        <v>1747</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684</v>
      </c>
      <c r="C25" s="53"/>
      <c r="D25" s="261" t="s">
        <v>685</v>
      </c>
      <c r="E25" s="3186"/>
      <c r="F25" s="56"/>
      <c r="G25" s="1592"/>
      <c r="H25" s="1830" t="s">
        <v>1776</v>
      </c>
      <c r="I25" s="3011" t="s">
        <v>2821</v>
      </c>
      <c r="J25" s="792">
        <f ca="1">J5-J16</f>
        <v>-737</v>
      </c>
      <c r="K25" s="2549" t="s">
        <v>700</v>
      </c>
      <c r="L25" s="2550"/>
      <c r="M25" s="2551"/>
    </row>
    <row r="26" spans="1:33" ht="18" customHeight="1">
      <c r="A26" s="1648" t="s">
        <v>1831</v>
      </c>
      <c r="B26" s="784" t="s">
        <v>2438</v>
      </c>
      <c r="C26" s="53">
        <f ca="1">ROUND((C19+C20)*F26,0)</f>
        <v>309</v>
      </c>
      <c r="D26" s="812" t="s">
        <v>701</v>
      </c>
      <c r="E26" s="795" t="s">
        <v>702</v>
      </c>
      <c r="F26" s="794">
        <f ca="1">INDIRECT("'数据-取费表'!q"&amp;$G$1)</f>
        <v>0.05</v>
      </c>
      <c r="G26" s="1592"/>
      <c r="H26" s="2503" t="s">
        <v>1780</v>
      </c>
      <c r="I26" s="2233" t="s">
        <v>2826</v>
      </c>
      <c r="J26" s="783">
        <f ca="1">IF(J5&lt;&gt;0,ROUND(J25*(1-((1+M28)/(1+M26))^M27)/(M26-M28),0),0)</f>
        <v>0</v>
      </c>
      <c r="K26" s="814" t="s">
        <v>1781</v>
      </c>
      <c r="L26" s="784" t="s">
        <v>2419</v>
      </c>
      <c r="M26" s="794">
        <f ca="1">INDIRECT("'数据-取费表'!I"&amp;$G$1)</f>
        <v>0.05</v>
      </c>
    </row>
    <row r="27" spans="1:33" ht="18" customHeight="1">
      <c r="A27" s="1648" t="s">
        <v>1832</v>
      </c>
      <c r="B27" s="784" t="s">
        <v>686</v>
      </c>
      <c r="C27" s="53">
        <f ca="1">ROUND(F21*F26,4)</f>
        <v>1E-3</v>
      </c>
      <c r="D27" s="812" t="s">
        <v>706</v>
      </c>
      <c r="E27" s="806"/>
      <c r="F27" s="807"/>
      <c r="G27" s="1592"/>
      <c r="H27" s="2504"/>
      <c r="I27" s="787"/>
      <c r="J27" s="788"/>
      <c r="K27" s="821" t="s">
        <v>707</v>
      </c>
      <c r="L27" s="784" t="s">
        <v>708</v>
      </c>
      <c r="M27" s="822">
        <f ca="1">INDIRECT("'数据-取费表'!ag"&amp;$G$1)</f>
        <v>0</v>
      </c>
    </row>
    <row r="28" spans="1:33" s="2065" customFormat="1" ht="18" customHeight="1">
      <c r="A28" s="1650" t="s">
        <v>1841</v>
      </c>
      <c r="B28" s="784" t="s">
        <v>687</v>
      </c>
      <c r="C28" s="53">
        <f>ROUND(F28/(1+'数据-取费表'!C42),4)</f>
        <v>5.33E-2</v>
      </c>
      <c r="D28" s="812" t="s">
        <v>2300</v>
      </c>
      <c r="E28" s="784" t="s">
        <v>649</v>
      </c>
      <c r="F28" s="809">
        <f>'数据-取费表'!B41</f>
        <v>5.6000000000000001E-2</v>
      </c>
      <c r="G28" s="1593"/>
      <c r="H28" s="1830"/>
      <c r="I28" s="791"/>
      <c r="J28" s="792"/>
      <c r="K28" s="816"/>
      <c r="L28" s="784" t="s">
        <v>1786</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1892</v>
      </c>
      <c r="B29" s="2542" t="s">
        <v>2301</v>
      </c>
      <c r="C29" s="2545">
        <f ca="1">ROUND((C19+C20+C23+C26)/(1-F21-C24-C27-C28),0)</f>
        <v>7340</v>
      </c>
      <c r="D29" s="2546"/>
      <c r="E29" s="2547"/>
      <c r="F29" s="2548"/>
      <c r="G29" s="1593"/>
      <c r="H29" s="823" t="s">
        <v>1787</v>
      </c>
      <c r="I29" s="824" t="s">
        <v>1788</v>
      </c>
      <c r="J29" s="825">
        <f ca="1">ROUND(J26/(1+F40)^F41,0)</f>
        <v>0</v>
      </c>
      <c r="K29" s="826" t="s">
        <v>688</v>
      </c>
      <c r="L29" s="827"/>
      <c r="M29" s="828">
        <f ca="1">INDIRECT("'数据-取费表'!k"&amp;$G$1)</f>
        <v>18791</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1748</v>
      </c>
      <c r="B30" s="1828" t="s">
        <v>1749</v>
      </c>
      <c r="C30" s="792">
        <f ca="1">ROUND(C31+C36+C37+C38,0)</f>
        <v>257</v>
      </c>
      <c r="D30" s="1822" t="s">
        <v>1791</v>
      </c>
      <c r="E30" s="3183"/>
      <c r="F30" s="2492"/>
      <c r="G30" s="2063"/>
      <c r="H30" s="2066"/>
      <c r="I30" s="2067"/>
      <c r="J30" s="2068"/>
      <c r="K30" s="2069"/>
      <c r="L30" s="2070"/>
      <c r="M30" s="2071"/>
    </row>
    <row r="31" spans="1:33" ht="18" customHeight="1">
      <c r="A31" s="1649" t="s">
        <v>1824</v>
      </c>
      <c r="B31" s="784" t="s">
        <v>656</v>
      </c>
      <c r="C31" s="53">
        <f ca="1">ROUND(IF(项目基本情况!B11="自然人",C5*F31,C32+C33+C34),1)</f>
        <v>128.9</v>
      </c>
      <c r="D31" s="3181" t="s">
        <v>657</v>
      </c>
      <c r="E31" s="3180" t="s">
        <v>690</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1831</v>
      </c>
      <c r="B32" s="784" t="s">
        <v>1755</v>
      </c>
      <c r="C32" s="53">
        <f ca="1">ROUND(C5*F32/1.05,1)</f>
        <v>36.5</v>
      </c>
      <c r="D32" s="3180" t="s">
        <v>1795</v>
      </c>
      <c r="E32" s="784" t="s">
        <v>649</v>
      </c>
      <c r="F32" s="809">
        <f>'数据-取费表'!B41</f>
        <v>5.6000000000000001E-2</v>
      </c>
      <c r="G32" s="2063"/>
      <c r="H32" s="2072"/>
      <c r="I32" s="2073"/>
      <c r="J32" s="2074"/>
      <c r="K32" s="2075"/>
      <c r="L32" s="2076"/>
      <c r="M32" s="2077"/>
    </row>
    <row r="33" spans="1:18" ht="18" customHeight="1">
      <c r="A33" s="1648" t="s">
        <v>1832</v>
      </c>
      <c r="B33" s="784" t="s">
        <v>1797</v>
      </c>
      <c r="C33" s="53">
        <f ca="1">IF(D33="按租金收入计税",ROUND(C5*F33,1),IF(D33="按房产原值计税",ROUND(C29*F33*0.7,1),INDIRECT("'数据-取费表'!Aj"&amp;$G$1)))</f>
        <v>82.1</v>
      </c>
      <c r="D33" s="811" t="s">
        <v>3417</v>
      </c>
      <c r="E33" s="784" t="s">
        <v>649</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10.3</v>
      </c>
      <c r="D34" s="814" t="s">
        <v>1799</v>
      </c>
      <c r="E34" s="784" t="s">
        <v>1800</v>
      </c>
      <c r="F34" s="640">
        <f>'数据-取费表'!B52</f>
        <v>12</v>
      </c>
      <c r="G34" s="2063"/>
      <c r="H34" s="2066"/>
      <c r="I34" s="835" t="s">
        <v>1813</v>
      </c>
      <c r="J34" s="836"/>
      <c r="K34" s="2081"/>
      <c r="L34" s="2080"/>
      <c r="M34" s="2080"/>
    </row>
    <row r="35" spans="1:18" ht="18" customHeight="1">
      <c r="A35" s="815"/>
      <c r="B35" s="793"/>
      <c r="C35" s="69"/>
      <c r="D35" s="816"/>
      <c r="E35" s="784" t="s">
        <v>1766</v>
      </c>
      <c r="F35" s="785">
        <f ca="1">INDIRECT("'数据-取费表'!r"&amp;$G$1)</f>
        <v>8552.91</v>
      </c>
      <c r="G35" s="2063"/>
      <c r="H35" s="2066"/>
      <c r="I35" s="837" t="s">
        <v>1814</v>
      </c>
      <c r="J35" s="838">
        <f ca="1">ROUND(C13*J36,0)</f>
        <v>0</v>
      </c>
      <c r="K35" s="2079"/>
      <c r="L35" s="2078"/>
      <c r="M35" s="2078"/>
    </row>
    <row r="36" spans="1:18" ht="18" customHeight="1">
      <c r="A36" s="1649" t="s">
        <v>1889</v>
      </c>
      <c r="B36" s="784" t="s">
        <v>1802</v>
      </c>
      <c r="C36" s="53">
        <f ca="1">ROUND(C29*F36,1)</f>
        <v>110.1</v>
      </c>
      <c r="D36" s="3180" t="s">
        <v>691</v>
      </c>
      <c r="E36" s="784" t="s">
        <v>649</v>
      </c>
      <c r="F36" s="817">
        <f ca="1">INDIRECT("'数据-取费表'!Ak"&amp;$G$1)</f>
        <v>1.4999999999999999E-2</v>
      </c>
      <c r="G36" s="2063"/>
      <c r="H36" s="2078"/>
      <c r="I36" s="839" t="s">
        <v>1815</v>
      </c>
      <c r="J36" s="840">
        <f ca="1">INDIRECT("'数据-取费表'!j"&amp;$G$1)</f>
        <v>0</v>
      </c>
      <c r="K36" s="2083"/>
      <c r="L36" s="2078"/>
      <c r="M36" s="2078"/>
    </row>
    <row r="37" spans="1:18" ht="18" customHeight="1">
      <c r="A37" s="1649" t="s">
        <v>1890</v>
      </c>
      <c r="B37" s="784" t="s">
        <v>679</v>
      </c>
      <c r="C37" s="53">
        <f ca="1">ROUND(C13*F37,1)</f>
        <v>11</v>
      </c>
      <c r="D37" s="3180" t="s">
        <v>680</v>
      </c>
      <c r="E37" s="784" t="s">
        <v>649</v>
      </c>
      <c r="F37" s="818">
        <f ca="1">INDIRECT("'数据-取费表'!Al"&amp;$G$1)</f>
        <v>1.5E-3</v>
      </c>
      <c r="G37" s="2063"/>
      <c r="H37" s="2078"/>
      <c r="I37" s="841" t="s">
        <v>1816</v>
      </c>
      <c r="J37" s="842"/>
      <c r="K37" s="2083"/>
      <c r="L37" s="2078"/>
      <c r="M37" s="2078"/>
    </row>
    <row r="38" spans="1:18" ht="18" customHeight="1" thickBot="1">
      <c r="A38" s="2552" t="s">
        <v>1891</v>
      </c>
      <c r="B38" s="2547" t="s">
        <v>666</v>
      </c>
      <c r="C38" s="2545">
        <f ca="1">ROUND(C5*F38,1)</f>
        <v>6.8</v>
      </c>
      <c r="D38" s="2546" t="s">
        <v>683</v>
      </c>
      <c r="E38" s="2547" t="s">
        <v>649</v>
      </c>
      <c r="F38" s="2543">
        <f ca="1">INDIRECT("'数据-取费表'!Am"&amp;$G$1)</f>
        <v>0.01</v>
      </c>
      <c r="G38" s="2063"/>
      <c r="H38" s="2078"/>
      <c r="I38" s="843" t="s">
        <v>1817</v>
      </c>
      <c r="J38" s="844"/>
      <c r="K38" s="2084"/>
      <c r="L38" s="2078"/>
      <c r="M38" s="2078"/>
    </row>
    <row r="39" spans="1:18" ht="24.6" customHeight="1" thickTop="1">
      <c r="A39" s="1830" t="s">
        <v>1894</v>
      </c>
      <c r="B39" s="3011" t="s">
        <v>2821</v>
      </c>
      <c r="C39" s="792">
        <f ca="1">C5-C30</f>
        <v>427</v>
      </c>
      <c r="D39" s="2549" t="s">
        <v>1806</v>
      </c>
      <c r="E39" s="2550"/>
      <c r="F39" s="2551"/>
      <c r="G39" s="2063"/>
      <c r="H39" s="2078"/>
      <c r="I39" s="837" t="s">
        <v>1818</v>
      </c>
      <c r="J39" s="845">
        <f ca="1">ROUND(J35/C39,3)</f>
        <v>0</v>
      </c>
      <c r="K39" s="2084"/>
      <c r="L39" s="2078"/>
      <c r="M39" s="2078"/>
    </row>
    <row r="40" spans="1:18" ht="18" customHeight="1">
      <c r="A40" s="781" t="s">
        <v>1780</v>
      </c>
      <c r="B40" s="2233" t="s">
        <v>2302</v>
      </c>
      <c r="C40" s="783">
        <f ca="1">ROUND(C39*(1-((1+F42)/(1+F40))^F41)/(F40-F42),0)</f>
        <v>11522</v>
      </c>
      <c r="D40" s="814" t="s">
        <v>704</v>
      </c>
      <c r="E40" s="784" t="s">
        <v>2419</v>
      </c>
      <c r="F40" s="794">
        <f ca="1">INDIRECT("'数据-取费表'!I"&amp;$G$1)</f>
        <v>0.05</v>
      </c>
      <c r="G40" s="2063"/>
      <c r="H40" s="2063"/>
      <c r="I40" s="837" t="s">
        <v>1819</v>
      </c>
      <c r="J40" s="845">
        <f ca="1">1-J39</f>
        <v>1</v>
      </c>
      <c r="K40" s="2084"/>
      <c r="L40" s="2063"/>
      <c r="M40" s="2063"/>
    </row>
    <row r="41" spans="1:18" ht="18" customHeight="1">
      <c r="A41" s="786"/>
      <c r="B41" s="787"/>
      <c r="C41" s="788"/>
      <c r="D41" s="821" t="s">
        <v>1808</v>
      </c>
      <c r="E41" s="784" t="s">
        <v>2958</v>
      </c>
      <c r="F41" s="822">
        <f ca="1">IF(INDIRECT("'数据-取费表'!af"&amp;$G$1)=0,INDIRECT("'数据-取费表'!ae"&amp;$G$1),INDIRECT("'数据-取费表'!af"&amp;$G$1))</f>
        <v>46.59</v>
      </c>
      <c r="G41" s="2063"/>
      <c r="H41" s="1989"/>
      <c r="I41" s="843" t="s">
        <v>1820</v>
      </c>
      <c r="J41" s="846"/>
      <c r="K41" s="2083"/>
      <c r="L41" s="1989"/>
      <c r="M41" s="1989"/>
    </row>
    <row r="42" spans="1:18" ht="18" customHeight="1">
      <c r="A42" s="790"/>
      <c r="B42" s="791"/>
      <c r="C42" s="792"/>
      <c r="D42" s="816"/>
      <c r="E42" s="784" t="s">
        <v>1809</v>
      </c>
      <c r="F42" s="794">
        <f ca="1">INDIRECT("'数据-取费表'!v"&amp;$G$1)</f>
        <v>2.5000000000000001E-2</v>
      </c>
      <c r="G42" s="2063"/>
      <c r="H42" s="1989"/>
      <c r="I42" s="847" t="s">
        <v>1821</v>
      </c>
      <c r="J42" s="845">
        <f ca="1">ROUND(C13/C40,3)</f>
        <v>0.63700000000000001</v>
      </c>
      <c r="K42" s="2083"/>
      <c r="L42" s="1989"/>
      <c r="M42" s="1989"/>
    </row>
    <row r="43" spans="1:18" ht="18" customHeight="1" thickBot="1">
      <c r="A43" s="823" t="s">
        <v>1787</v>
      </c>
      <c r="B43" s="824" t="s">
        <v>1810</v>
      </c>
      <c r="C43" s="825">
        <f ca="1">ROUND(C40*10000/F43,0)</f>
        <v>6132</v>
      </c>
      <c r="D43" s="826" t="s">
        <v>1811</v>
      </c>
      <c r="E43" s="827" t="s">
        <v>1812</v>
      </c>
      <c r="F43" s="828">
        <f ca="1">INDIRECT("'数据-取费表'!k"&amp;$G$1)</f>
        <v>18791</v>
      </c>
      <c r="G43" s="2063"/>
      <c r="H43" s="1989"/>
      <c r="I43" s="847" t="s">
        <v>1822</v>
      </c>
      <c r="J43" s="848">
        <f ca="1">1-J42</f>
        <v>0.36299999999999999</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75">
        <f ca="1">C67-C40</f>
        <v>-13872</v>
      </c>
      <c r="D46" s="2086"/>
      <c r="E46" s="2086"/>
      <c r="F46" s="2086"/>
      <c r="I46" s="2379" t="s">
        <v>2343</v>
      </c>
      <c r="J46" s="2380"/>
      <c r="K46" s="2381"/>
      <c r="L46" s="3162">
        <f>IF(OR(M47="住宅",D1="土地（套用方法）"),0,IF(L48&gt;J51,L60,J60))</f>
        <v>0</v>
      </c>
      <c r="O46" s="2395" t="s">
        <v>2410</v>
      </c>
      <c r="P46" s="1592"/>
      <c r="Q46" s="1604"/>
      <c r="R46" s="1592"/>
    </row>
    <row r="47" spans="1:18" s="2060" customFormat="1" ht="18" customHeight="1" thickBot="1">
      <c r="A47" s="2373">
        <v>1</v>
      </c>
      <c r="B47" s="2374" t="s">
        <v>635</v>
      </c>
      <c r="C47" s="2575">
        <f ca="1">C48+C52+C54</f>
        <v>0</v>
      </c>
      <c r="D47" s="2086"/>
      <c r="E47" s="2086"/>
      <c r="F47" s="2086"/>
      <c r="I47" s="3152" t="s">
        <v>2344</v>
      </c>
      <c r="J47" s="2382" t="s">
        <v>3418</v>
      </c>
      <c r="K47" s="3159" t="s">
        <v>2349</v>
      </c>
      <c r="L47" s="3163">
        <f ca="1">INDIRECT("'数据-取费表'!d"&amp;$G$1)</f>
        <v>50</v>
      </c>
      <c r="M47" s="1604" t="str">
        <f>IF(ISNUMBER(FIND("住宅",C1)),"住宅","非住宅")</f>
        <v>非住宅</v>
      </c>
      <c r="O47" s="2396" t="s">
        <v>2375</v>
      </c>
      <c r="P47" s="2397" t="s">
        <v>2376</v>
      </c>
      <c r="Q47" s="2398" t="s">
        <v>2377</v>
      </c>
      <c r="R47" s="2397" t="s">
        <v>2378</v>
      </c>
    </row>
    <row r="48" spans="1:18" s="2060" customFormat="1" ht="18" customHeight="1" thickBot="1">
      <c r="A48" s="2643" t="s">
        <v>2537</v>
      </c>
      <c r="B48" s="2644" t="s">
        <v>2538</v>
      </c>
      <c r="C48" s="2375">
        <f ca="1">ROUND(F48*F50*F49*(1-F51)/10000,0)</f>
        <v>0</v>
      </c>
      <c r="D48" s="2376" t="s">
        <v>636</v>
      </c>
      <c r="E48" s="2377" t="s">
        <v>2297</v>
      </c>
      <c r="F48" s="2378"/>
      <c r="G48" s="2091"/>
      <c r="I48" s="3128" t="s">
        <v>2345</v>
      </c>
      <c r="J48" s="2383" t="s">
        <v>2350</v>
      </c>
      <c r="K48" s="3160" t="s">
        <v>2351</v>
      </c>
      <c r="L48" s="1909">
        <f ca="1">INDIRECT("'数据-取费表'!f"&amp;$G$1)</f>
        <v>48.59</v>
      </c>
      <c r="O48" s="2399" t="s">
        <v>2379</v>
      </c>
      <c r="P48" s="2400" t="s">
        <v>2405</v>
      </c>
      <c r="Q48" s="2401">
        <f ca="1">C40+J29</f>
        <v>11522</v>
      </c>
      <c r="R48" s="2400" t="s">
        <v>2380</v>
      </c>
    </row>
    <row r="49" spans="1:18" s="2060" customFormat="1" ht="18" customHeight="1" thickBot="1">
      <c r="A49" s="786"/>
      <c r="B49" s="787"/>
      <c r="C49" s="788"/>
      <c r="D49" s="789"/>
      <c r="E49" s="784" t="s">
        <v>638</v>
      </c>
      <c r="F49" s="785">
        <f ca="1">F7</f>
        <v>422</v>
      </c>
      <c r="G49" s="2091"/>
      <c r="H49" s="2094"/>
      <c r="I49" s="3128" t="s">
        <v>2346</v>
      </c>
      <c r="J49" s="2384">
        <v>2020</v>
      </c>
      <c r="K49" s="3161" t="s">
        <v>2352</v>
      </c>
      <c r="L49" s="2385"/>
      <c r="O49" s="2399" t="s">
        <v>2381</v>
      </c>
      <c r="P49" s="2400" t="s">
        <v>2406</v>
      </c>
      <c r="Q49" s="2401">
        <f ca="1">J60</f>
        <v>2936</v>
      </c>
      <c r="R49" s="2400" t="s">
        <v>2382</v>
      </c>
    </row>
    <row r="50" spans="1:18" s="2060" customFormat="1" ht="18" customHeight="1" thickBot="1">
      <c r="A50" s="786"/>
      <c r="B50" s="787"/>
      <c r="C50" s="788"/>
      <c r="D50" s="789"/>
      <c r="E50" s="784" t="s">
        <v>639</v>
      </c>
      <c r="F50" s="785">
        <f ca="1">F8</f>
        <v>12</v>
      </c>
      <c r="G50" s="2096"/>
      <c r="H50" s="2094"/>
      <c r="I50" s="3128" t="s">
        <v>2347</v>
      </c>
      <c r="J50" s="3156">
        <f>SUMPRODUCT((I63:I65=J47)*(J62:L62=J48)*(J63:L65))</f>
        <v>60</v>
      </c>
      <c r="K50" s="3161" t="s">
        <v>2353</v>
      </c>
      <c r="L50" s="2385"/>
      <c r="O50" s="2402" t="s">
        <v>2383</v>
      </c>
      <c r="P50" s="2400" t="s">
        <v>2407</v>
      </c>
      <c r="Q50" s="2401">
        <f ca="1">C29</f>
        <v>7340</v>
      </c>
      <c r="R50" s="2400" t="s">
        <v>2380</v>
      </c>
    </row>
    <row r="51" spans="1:18" s="2060" customFormat="1" ht="18" customHeight="1" thickBot="1">
      <c r="A51" s="786"/>
      <c r="B51" s="787"/>
      <c r="C51" s="788"/>
      <c r="D51" s="789"/>
      <c r="E51" s="784" t="s">
        <v>640</v>
      </c>
      <c r="F51" s="2372"/>
      <c r="H51" s="2094"/>
      <c r="I51" s="3153" t="s">
        <v>2348</v>
      </c>
      <c r="J51" s="3157">
        <f>IF(J49="",J50,J49+J50-YEAR('数据-取费表'!B2))</f>
        <v>62</v>
      </c>
      <c r="K51" s="3128" t="s">
        <v>2354</v>
      </c>
      <c r="L51" s="3164">
        <f ca="1">ROUND(-PV(INDIRECT("'数据-取费表'!h"&amp;$G$1),L48,(C39-C13*J36),0),0)</f>
        <v>8371</v>
      </c>
      <c r="O51" s="2402" t="s">
        <v>2384</v>
      </c>
      <c r="P51" s="2400" t="s">
        <v>2385</v>
      </c>
      <c r="Q51" s="2403">
        <f ca="1">J58</f>
        <v>0.4</v>
      </c>
      <c r="R51" s="2404"/>
    </row>
    <row r="52" spans="1:18" s="2060" customFormat="1" ht="18" customHeight="1" thickBot="1">
      <c r="A52" s="781" t="s">
        <v>2536</v>
      </c>
      <c r="B52" s="2495" t="s">
        <v>2459</v>
      </c>
      <c r="C52" s="799">
        <f ca="1">ROUND(IF(F52="押一",C48/12*F11,IF(F52="押二",C48/12*2*F11,IF(F52="押三",C48/12*3*F11,C53*F11))),0)</f>
        <v>0</v>
      </c>
      <c r="D52" s="2502" t="s">
        <v>2969</v>
      </c>
      <c r="E52" s="2499" t="s">
        <v>2464</v>
      </c>
      <c r="F52" s="2622"/>
      <c r="I52" s="3154" t="s">
        <v>2421</v>
      </c>
      <c r="J52" s="2386"/>
      <c r="K52" s="3154" t="s">
        <v>2420</v>
      </c>
      <c r="L52" s="2386"/>
      <c r="O52" s="2402" t="s">
        <v>2386</v>
      </c>
      <c r="P52" s="2400" t="s">
        <v>2387</v>
      </c>
      <c r="Q52" s="2403">
        <f>J52</f>
        <v>0</v>
      </c>
      <c r="R52" s="2404"/>
    </row>
    <row r="53" spans="1:18" s="2060" customFormat="1" ht="39.75" customHeight="1" thickBot="1">
      <c r="A53" s="786"/>
      <c r="B53" s="2496" t="s">
        <v>2573</v>
      </c>
      <c r="C53" s="2500"/>
      <c r="D53" s="2502"/>
      <c r="E53" s="2499"/>
      <c r="F53" s="800"/>
      <c r="I53" s="3155" t="s">
        <v>2973</v>
      </c>
      <c r="J53" s="3158">
        <f ca="1">IF(M47="住宅",IF(D1="——",MAX(J51,L48),MAX(J51,L48-'数据-取费表'!B20)),IF(D1="——",MIN(J51,L48),MIN(J51,L48-'数据-取费表'!B20)))</f>
        <v>46.59</v>
      </c>
      <c r="K53" s="3466" t="s">
        <v>2960</v>
      </c>
      <c r="L53" s="3467"/>
      <c r="O53" s="2402" t="s">
        <v>2388</v>
      </c>
      <c r="P53" s="2400" t="s">
        <v>2389</v>
      </c>
      <c r="Q53" s="2401">
        <f ca="1">J53</f>
        <v>46.59</v>
      </c>
      <c r="R53" s="2400" t="s">
        <v>2390</v>
      </c>
    </row>
    <row r="54" spans="1:18" s="2060" customFormat="1" ht="18" customHeight="1" thickBot="1">
      <c r="A54" s="2538" t="s">
        <v>2467</v>
      </c>
      <c r="B54" s="2539" t="s">
        <v>2460</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2391</v>
      </c>
      <c r="P54" s="2400" t="s">
        <v>2408</v>
      </c>
      <c r="Q54" s="2401">
        <f ca="1">Q48+Q49</f>
        <v>14458</v>
      </c>
      <c r="R54" s="2404" t="s">
        <v>2392</v>
      </c>
    </row>
    <row r="55" spans="1:18" s="2060" customFormat="1" ht="18" customHeight="1" thickTop="1" thickBot="1">
      <c r="A55" s="797">
        <v>2</v>
      </c>
      <c r="B55" s="798" t="s">
        <v>644</v>
      </c>
      <c r="C55" s="799">
        <f ca="1">C13</f>
        <v>7340</v>
      </c>
      <c r="D55" s="795"/>
      <c r="E55" s="795"/>
      <c r="F55" s="800"/>
      <c r="I55" s="3167" t="s">
        <v>2355</v>
      </c>
      <c r="J55" s="3103">
        <f ca="1">ROUND(IF(J47="钢混",J57/J50,1-(1-2%)*(J50-J57)/J50),3)</f>
        <v>0.224</v>
      </c>
      <c r="K55" s="3168" t="s">
        <v>2356</v>
      </c>
      <c r="L55" s="2387"/>
      <c r="O55" s="2405" t="s">
        <v>2411</v>
      </c>
      <c r="P55" s="1592"/>
      <c r="Q55" s="1604"/>
      <c r="R55" s="1592"/>
    </row>
    <row r="56" spans="1:18" s="2060" customFormat="1" ht="42.75" customHeight="1" thickBot="1">
      <c r="A56" s="1650"/>
      <c r="B56" s="2232" t="s">
        <v>2303</v>
      </c>
      <c r="C56" s="53">
        <f ca="1">C29</f>
        <v>7340</v>
      </c>
      <c r="D56" s="3180"/>
      <c r="E56" s="784"/>
      <c r="F56" s="809"/>
      <c r="I56" s="3169" t="s">
        <v>2357</v>
      </c>
      <c r="J56" s="3179" t="s">
        <v>2994</v>
      </c>
      <c r="K56" s="3128" t="s">
        <v>2362</v>
      </c>
      <c r="L56" s="1909" t="str">
        <f ca="1">IF(L48&lt;J51,"——",L48-J51)</f>
        <v>——</v>
      </c>
      <c r="O56" s="2396" t="s">
        <v>2375</v>
      </c>
      <c r="P56" s="2397" t="s">
        <v>2376</v>
      </c>
      <c r="Q56" s="2398" t="s">
        <v>2377</v>
      </c>
      <c r="R56" s="2397" t="s">
        <v>2378</v>
      </c>
    </row>
    <row r="57" spans="1:18" s="2060" customFormat="1" ht="28.5" customHeight="1" thickBot="1">
      <c r="A57" s="797" t="s">
        <v>1748</v>
      </c>
      <c r="B57" s="798" t="s">
        <v>651</v>
      </c>
      <c r="C57" s="799">
        <f ca="1">ROUND(C58+C63+C64+C65,0)</f>
        <v>131</v>
      </c>
      <c r="D57" s="26" t="s">
        <v>1750</v>
      </c>
      <c r="E57" s="3186"/>
      <c r="F57" s="56"/>
      <c r="I57" s="3170" t="s">
        <v>2358</v>
      </c>
      <c r="J57" s="3171">
        <f ca="1">IF(OR(M47="住宅",J51&lt;L48,J56="是"),"——",J51-L48)</f>
        <v>13.409999999999997</v>
      </c>
      <c r="K57" s="3128" t="s">
        <v>2363</v>
      </c>
      <c r="L57" s="1909" t="str">
        <f ca="1">IF(L48&lt;J51,"——",IF(L55="比较法",L49,IF(L55="基准地价",L50,L51)))</f>
        <v>——</v>
      </c>
      <c r="O57" s="2399" t="s">
        <v>2379</v>
      </c>
      <c r="P57" s="2400" t="s">
        <v>2409</v>
      </c>
      <c r="Q57" s="2401">
        <f ca="1">C40+J29</f>
        <v>11522</v>
      </c>
      <c r="R57" s="2400" t="s">
        <v>2380</v>
      </c>
    </row>
    <row r="58" spans="1:18" s="2060" customFormat="1" ht="28.5" customHeight="1" thickBot="1">
      <c r="A58" s="1649" t="s">
        <v>1824</v>
      </c>
      <c r="B58" s="784" t="s">
        <v>656</v>
      </c>
      <c r="C58" s="53">
        <f ca="1">ROUND(IF(项目基本情况!B11="自然人",C47*F58,C59+C60+C61),1)</f>
        <v>10.3</v>
      </c>
      <c r="D58" s="3181" t="s">
        <v>657</v>
      </c>
      <c r="E58" s="3180" t="s">
        <v>690</v>
      </c>
      <c r="F58" s="810" t="str">
        <f ca="1">IF(项目基本情况!B11="企业","",IF(INDIRECT("'数据-取费表'!c"&amp;$G$1)="住宅",5%,IF(F48*F49*F50/12/(1+'数据-取费表'!C42)&gt;20000,12%,7%)))</f>
        <v/>
      </c>
      <c r="I58" s="3170" t="s">
        <v>2359</v>
      </c>
      <c r="J58" s="3104">
        <f ca="1">IF(J55&lt;0.4,0.4,J55)</f>
        <v>0.4</v>
      </c>
      <c r="K58" s="3128" t="s">
        <v>2364</v>
      </c>
      <c r="L58" s="1909" t="e">
        <f ca="1">ROUND(POWER(1+L52,L47-L48)*(POWER(1+L52,L48)-1)/(POWER(1+L52,L47)-1),4)</f>
        <v>#DIV/0!</v>
      </c>
      <c r="O58" s="2399" t="s">
        <v>2381</v>
      </c>
      <c r="P58" s="2400" t="s">
        <v>2412</v>
      </c>
      <c r="Q58" s="2401">
        <f ca="1">L60</f>
        <v>0</v>
      </c>
      <c r="R58" s="2404" t="s">
        <v>2414</v>
      </c>
    </row>
    <row r="59" spans="1:18" s="2060" customFormat="1" ht="28.5" customHeight="1" thickBot="1">
      <c r="A59" s="1648" t="s">
        <v>1831</v>
      </c>
      <c r="B59" s="784" t="s">
        <v>660</v>
      </c>
      <c r="C59" s="53">
        <f ca="1">ROUND(C47*F59/1.05,1)</f>
        <v>0</v>
      </c>
      <c r="D59" s="3180" t="s">
        <v>661</v>
      </c>
      <c r="E59" s="784" t="s">
        <v>1747</v>
      </c>
      <c r="F59" s="809">
        <f t="shared" ref="F59:F65" si="0">F32</f>
        <v>5.6000000000000001E-2</v>
      </c>
      <c r="I59" s="3170" t="s">
        <v>2360</v>
      </c>
      <c r="J59" s="3171">
        <f ca="1">IF(OR(M47="住宅",J51&lt;L48,J56="是"),"——",ROUND(C29*J58,0))</f>
        <v>2936</v>
      </c>
      <c r="K59" s="3128"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2383</v>
      </c>
      <c r="P59" s="2400" t="s">
        <v>2413</v>
      </c>
      <c r="Q59" s="2401">
        <f>IF(L55="比较法",L49,IF(L55="基准地价",L50,0))</f>
        <v>0</v>
      </c>
      <c r="R59" s="2400" t="s">
        <v>2380</v>
      </c>
    </row>
    <row r="60" spans="1:18" s="2060" customFormat="1" ht="18" customHeight="1" thickBot="1">
      <c r="A60" s="1648" t="s">
        <v>1832</v>
      </c>
      <c r="B60" s="784" t="s">
        <v>664</v>
      </c>
      <c r="C60" s="53">
        <f ca="1">IF(D60="按租金收入计税",ROUND(C47*F60,1),IF(D60="按房产原值计税",ROUND(C56*F60*0.7,1),INDIRECT("'数据-取费表'!Aj"&amp;$G$1)))</f>
        <v>0</v>
      </c>
      <c r="D60" s="3180" t="str">
        <f>D33</f>
        <v>按租金收入计税</v>
      </c>
      <c r="E60" s="784" t="s">
        <v>1747</v>
      </c>
      <c r="F60" s="809">
        <f t="shared" si="0"/>
        <v>0.12</v>
      </c>
      <c r="I60" s="3172" t="s">
        <v>2361</v>
      </c>
      <c r="J60" s="3173">
        <f ca="1">IF(OR(M47="住宅",J51&lt;L48,J56="是"),"0",ROUND(J59/(1+J52)^J53,0))</f>
        <v>2936</v>
      </c>
      <c r="K60" s="3174" t="s">
        <v>2366</v>
      </c>
      <c r="L60" s="3173">
        <f ca="1">IF(OR(M47="住宅",L48&lt;J51),0,ROUND(L57*(L58/L59-1),0))</f>
        <v>0</v>
      </c>
      <c r="O60" s="2402" t="s">
        <v>2384</v>
      </c>
      <c r="P60" s="2400" t="s">
        <v>2393</v>
      </c>
      <c r="Q60" s="2403">
        <f>L52</f>
        <v>0</v>
      </c>
      <c r="R60" s="2404"/>
    </row>
    <row r="61" spans="1:18" s="2060" customFormat="1" ht="18" customHeight="1" thickBot="1">
      <c r="A61" s="1651" t="s">
        <v>1833</v>
      </c>
      <c r="B61" s="341" t="s">
        <v>668</v>
      </c>
      <c r="C61" s="54">
        <f ca="1">ROUND(F61*F62/10000,1)</f>
        <v>10.3</v>
      </c>
      <c r="D61" s="814" t="s">
        <v>669</v>
      </c>
      <c r="E61" s="784" t="s">
        <v>670</v>
      </c>
      <c r="F61" s="640">
        <f t="shared" si="0"/>
        <v>12</v>
      </c>
      <c r="K61" s="2087"/>
      <c r="O61" s="2402" t="s">
        <v>2386</v>
      </c>
      <c r="P61" s="2400" t="s">
        <v>2394</v>
      </c>
      <c r="Q61" s="2401" t="e">
        <f ca="1">L58</f>
        <v>#DIV/0!</v>
      </c>
      <c r="R61" s="2404" t="s">
        <v>2395</v>
      </c>
    </row>
    <row r="62" spans="1:18" s="2060" customFormat="1" ht="15.75" thickBot="1">
      <c r="A62" s="815"/>
      <c r="B62" s="793"/>
      <c r="C62" s="69"/>
      <c r="D62" s="816"/>
      <c r="E62" s="784" t="s">
        <v>674</v>
      </c>
      <c r="F62" s="785">
        <f t="shared" ca="1" si="0"/>
        <v>8552.91</v>
      </c>
      <c r="I62" s="3175" t="s">
        <v>2367</v>
      </c>
      <c r="J62" s="3176" t="s">
        <v>2368</v>
      </c>
      <c r="K62" s="3176" t="s">
        <v>2369</v>
      </c>
      <c r="L62" s="3176" t="s">
        <v>2350</v>
      </c>
      <c r="M62" s="3177" t="s">
        <v>2936</v>
      </c>
      <c r="O62" s="2402" t="s">
        <v>2388</v>
      </c>
      <c r="P62" s="2400" t="str">
        <f>K59</f>
        <v>建设期及建筑物耐用年限下的土地年期修正系数Kn</v>
      </c>
      <c r="Q62" s="2401" t="e">
        <f ca="1">L59</f>
        <v>#DIV/0!</v>
      </c>
      <c r="R62" s="2404" t="s">
        <v>2397</v>
      </c>
    </row>
    <row r="63" spans="1:18" s="2060" customFormat="1" ht="15.75" thickBot="1">
      <c r="A63" s="1649" t="s">
        <v>1889</v>
      </c>
      <c r="B63" s="784" t="s">
        <v>676</v>
      </c>
      <c r="C63" s="53">
        <f ca="1">ROUND(C56*F63,1)</f>
        <v>110.1</v>
      </c>
      <c r="D63" s="3180" t="s">
        <v>691</v>
      </c>
      <c r="E63" s="784" t="s">
        <v>1747</v>
      </c>
      <c r="F63" s="817">
        <f t="shared" ca="1" si="0"/>
        <v>1.4999999999999999E-2</v>
      </c>
      <c r="I63" s="3175" t="s">
        <v>2370</v>
      </c>
      <c r="J63" s="3176">
        <v>70</v>
      </c>
      <c r="K63" s="3176">
        <v>50</v>
      </c>
      <c r="L63" s="3176">
        <v>80</v>
      </c>
      <c r="M63" s="3178">
        <v>0.02</v>
      </c>
      <c r="O63" s="2399" t="s">
        <v>2391</v>
      </c>
      <c r="P63" s="2400" t="s">
        <v>2408</v>
      </c>
      <c r="Q63" s="2401">
        <f ca="1">Q57+Q58</f>
        <v>11522</v>
      </c>
      <c r="R63" s="2404" t="s">
        <v>2392</v>
      </c>
    </row>
    <row r="64" spans="1:18" s="2060" customFormat="1" ht="16.5" thickBot="1">
      <c r="A64" s="1649" t="s">
        <v>1890</v>
      </c>
      <c r="B64" s="784" t="s">
        <v>679</v>
      </c>
      <c r="C64" s="53">
        <f ca="1">ROUND(C55*F64,1)</f>
        <v>11</v>
      </c>
      <c r="D64" s="3180" t="s">
        <v>680</v>
      </c>
      <c r="E64" s="784" t="s">
        <v>1747</v>
      </c>
      <c r="F64" s="818">
        <f t="shared" ca="1" si="0"/>
        <v>1.5E-3</v>
      </c>
      <c r="I64" s="3175" t="s">
        <v>2371</v>
      </c>
      <c r="J64" s="3176">
        <v>50</v>
      </c>
      <c r="K64" s="3176">
        <v>35</v>
      </c>
      <c r="L64" s="3176">
        <v>60</v>
      </c>
      <c r="M64" s="846">
        <v>0</v>
      </c>
      <c r="O64" s="2405" t="s">
        <v>2415</v>
      </c>
      <c r="P64" s="1592"/>
      <c r="Q64" s="1604"/>
      <c r="R64" s="1592"/>
    </row>
    <row r="65" spans="1:18" s="2060" customFormat="1" ht="15.75" thickBot="1">
      <c r="A65" s="1649" t="s">
        <v>1891</v>
      </c>
      <c r="B65" s="784" t="s">
        <v>666</v>
      </c>
      <c r="C65" s="53">
        <f ca="1">ROUND(C47*F65,1)</f>
        <v>0</v>
      </c>
      <c r="D65" s="3180" t="s">
        <v>683</v>
      </c>
      <c r="E65" s="784" t="s">
        <v>1747</v>
      </c>
      <c r="F65" s="794">
        <f t="shared" ca="1" si="0"/>
        <v>0.01</v>
      </c>
      <c r="I65" s="3175" t="s">
        <v>2372</v>
      </c>
      <c r="J65" s="3176">
        <v>40</v>
      </c>
      <c r="K65" s="3176">
        <v>30</v>
      </c>
      <c r="L65" s="3176">
        <v>50</v>
      </c>
      <c r="M65" s="3178">
        <v>0.02</v>
      </c>
      <c r="O65" s="2396" t="s">
        <v>2375</v>
      </c>
      <c r="P65" s="2397" t="s">
        <v>2376</v>
      </c>
      <c r="Q65" s="2398" t="s">
        <v>2377</v>
      </c>
      <c r="R65" s="2397" t="s">
        <v>2378</v>
      </c>
    </row>
    <row r="66" spans="1:18" s="2060" customFormat="1" ht="24.75" thickBot="1">
      <c r="A66" s="797" t="s">
        <v>1776</v>
      </c>
      <c r="B66" s="3012" t="s">
        <v>2821</v>
      </c>
      <c r="C66" s="799">
        <f ca="1">C47-C57</f>
        <v>-131</v>
      </c>
      <c r="D66" s="3181" t="s">
        <v>700</v>
      </c>
      <c r="E66" s="3185"/>
      <c r="F66" s="820"/>
      <c r="K66" s="2087"/>
      <c r="O66" s="2399" t="s">
        <v>2379</v>
      </c>
      <c r="P66" s="2400" t="s">
        <v>2409</v>
      </c>
      <c r="Q66" s="2401">
        <f ca="1">C40+J29</f>
        <v>11522</v>
      </c>
      <c r="R66" s="2400" t="s">
        <v>2380</v>
      </c>
    </row>
    <row r="67" spans="1:18" s="2060" customFormat="1" ht="20.25" thickBot="1">
      <c r="A67" s="781" t="s">
        <v>1780</v>
      </c>
      <c r="B67" s="2233" t="s">
        <v>2302</v>
      </c>
      <c r="C67" s="783">
        <f ca="1">ROUND(C66*(1-((1+F69)/(1+F67))^F68)/(F67-F69),0)</f>
        <v>-2350</v>
      </c>
      <c r="D67" s="814" t="s">
        <v>704</v>
      </c>
      <c r="E67" s="784" t="s">
        <v>705</v>
      </c>
      <c r="F67" s="794">
        <f ca="1">F40</f>
        <v>0.05</v>
      </c>
      <c r="K67" s="2087"/>
      <c r="O67" s="2399" t="s">
        <v>2381</v>
      </c>
      <c r="P67" s="2400" t="s">
        <v>2412</v>
      </c>
      <c r="Q67" s="2401">
        <f ca="1">L60</f>
        <v>0</v>
      </c>
      <c r="R67" s="2404" t="s">
        <v>2414</v>
      </c>
    </row>
    <row r="68" spans="1:18" ht="21.75" thickBot="1">
      <c r="A68" s="786"/>
      <c r="B68" s="787"/>
      <c r="C68" s="788"/>
      <c r="D68" s="821" t="s">
        <v>1808</v>
      </c>
      <c r="E68" s="784" t="s">
        <v>708</v>
      </c>
      <c r="F68" s="822">
        <f ca="1">F41</f>
        <v>46.59</v>
      </c>
      <c r="O68" s="2402" t="s">
        <v>2383</v>
      </c>
      <c r="P68" s="2400" t="s">
        <v>2413</v>
      </c>
      <c r="Q68" s="2406">
        <f ca="1">L51</f>
        <v>8371</v>
      </c>
      <c r="R68" s="2407" t="s">
        <v>2416</v>
      </c>
    </row>
    <row r="69" spans="1:18" ht="20.25" thickBot="1">
      <c r="A69" s="790"/>
      <c r="B69" s="791"/>
      <c r="C69" s="792"/>
      <c r="D69" s="816"/>
      <c r="E69" s="784" t="s">
        <v>710</v>
      </c>
      <c r="F69" s="2372"/>
      <c r="O69" s="2402" t="s">
        <v>2384</v>
      </c>
      <c r="P69" s="2408" t="s">
        <v>2398</v>
      </c>
      <c r="Q69" s="2401">
        <f ca="1">ROUND(Q70-Q71*Q72,0)</f>
        <v>427</v>
      </c>
      <c r="R69" s="2404"/>
    </row>
    <row r="70" spans="1:18" ht="15.75" thickBot="1">
      <c r="A70" s="823" t="s">
        <v>1787</v>
      </c>
      <c r="B70" s="824" t="s">
        <v>1810</v>
      </c>
      <c r="C70" s="825">
        <f ca="1">ROUND(C67*10000/F70,0)</f>
        <v>-1251</v>
      </c>
      <c r="D70" s="826" t="s">
        <v>1811</v>
      </c>
      <c r="E70" s="827" t="s">
        <v>1812</v>
      </c>
      <c r="F70" s="828">
        <f ca="1">F43</f>
        <v>18791</v>
      </c>
      <c r="O70" s="2402" t="s">
        <v>2399</v>
      </c>
      <c r="P70" s="2408" t="s">
        <v>2400</v>
      </c>
      <c r="Q70" s="2401">
        <f ca="1">C39</f>
        <v>427</v>
      </c>
      <c r="R70" s="2400" t="s">
        <v>2380</v>
      </c>
    </row>
    <row r="71" spans="1:18" ht="15.75" thickBot="1">
      <c r="O71" s="2402" t="s">
        <v>2401</v>
      </c>
      <c r="P71" s="2408" t="s">
        <v>2402</v>
      </c>
      <c r="Q71" s="2401">
        <f ca="1">C13</f>
        <v>7340</v>
      </c>
      <c r="R71" s="2400" t="s">
        <v>2380</v>
      </c>
    </row>
    <row r="72" spans="1:18" ht="15.75" thickBot="1">
      <c r="O72" s="2402" t="s">
        <v>2403</v>
      </c>
      <c r="P72" s="2408" t="s">
        <v>2404</v>
      </c>
      <c r="Q72" s="2403">
        <f ca="1">J36</f>
        <v>0</v>
      </c>
      <c r="R72" s="2404"/>
    </row>
    <row r="73" spans="1:18" ht="15.75" thickBot="1">
      <c r="O73" s="2402" t="s">
        <v>2386</v>
      </c>
      <c r="P73" s="2400" t="s">
        <v>2393</v>
      </c>
      <c r="Q73" s="2403">
        <f>L52</f>
        <v>0</v>
      </c>
      <c r="R73" s="2404"/>
    </row>
    <row r="74" spans="1:18" ht="20.25" thickBot="1">
      <c r="O74" s="2402" t="s">
        <v>2388</v>
      </c>
      <c r="P74" s="2400" t="s">
        <v>2394</v>
      </c>
      <c r="Q74" s="2401" t="e">
        <f ca="1">L58</f>
        <v>#DIV/0!</v>
      </c>
      <c r="R74" s="2404" t="s">
        <v>2395</v>
      </c>
    </row>
    <row r="75" spans="1:18" ht="15.75" thickBot="1">
      <c r="O75" s="2402" t="s">
        <v>2417</v>
      </c>
      <c r="P75" s="2400" t="str">
        <f>K59</f>
        <v>建设期及建筑物耐用年限下的土地年期修正系数Kn</v>
      </c>
      <c r="Q75" s="2401" t="e">
        <f ca="1">L59</f>
        <v>#DIV/0!</v>
      </c>
      <c r="R75" s="2404" t="s">
        <v>2397</v>
      </c>
    </row>
    <row r="76" spans="1:18" ht="15.75" thickBot="1">
      <c r="O76" s="2399" t="s">
        <v>2391</v>
      </c>
      <c r="P76" s="2400" t="s">
        <v>2408</v>
      </c>
      <c r="Q76" s="2401">
        <f ca="1">Q66+Q67</f>
        <v>11522</v>
      </c>
      <c r="R76" s="240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4" priority="6">
      <formula>$L$48&gt;$J$51</formula>
    </cfRule>
  </conditionalFormatting>
  <conditionalFormatting sqref="I55">
    <cfRule type="expression" dxfId="13" priority="7">
      <formula>$J$51&gt;$L$48</formula>
    </cfRule>
  </conditionalFormatting>
  <conditionalFormatting sqref="I60">
    <cfRule type="expression" dxfId="12" priority="5">
      <formula>$J$51&gt;$L$48</formula>
    </cfRule>
  </conditionalFormatting>
  <conditionalFormatting sqref="K60">
    <cfRule type="expression" dxfId="11" priority="4">
      <formula>$L$48&gt;$J$51</formula>
    </cfRule>
  </conditionalFormatting>
  <conditionalFormatting sqref="C11">
    <cfRule type="expression" dxfId="10" priority="3">
      <formula>$F$10="自定义"</formula>
    </cfRule>
  </conditionalFormatting>
  <conditionalFormatting sqref="J11">
    <cfRule type="expression" dxfId="9" priority="2">
      <formula>$M$10="自定义"</formula>
    </cfRule>
  </conditionalFormatting>
  <conditionalFormatting sqref="C53">
    <cfRule type="expression" dxfId="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 sqref="D1"/>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1725</v>
      </c>
      <c r="B1" s="738"/>
      <c r="C1" s="773" t="s">
        <v>3434</v>
      </c>
      <c r="D1" s="3127" t="s">
        <v>3415</v>
      </c>
      <c r="E1" s="2388" t="s">
        <v>870</v>
      </c>
      <c r="F1" s="2389">
        <f ca="1">J53</f>
        <v>36.58</v>
      </c>
      <c r="G1" s="774">
        <f>MATCH(C1,'数据-取费表'!A6:A16,0)+5</f>
        <v>11</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467</v>
      </c>
      <c r="B2" s="775">
        <f ca="1">C40+J29+L46</f>
        <v>11565</v>
      </c>
      <c r="C2" s="2058"/>
      <c r="D2" s="2056"/>
      <c r="E2" s="2057"/>
      <c r="F2" s="2057"/>
      <c r="G2" s="1590"/>
      <c r="H2" s="2058"/>
      <c r="I2" s="2058"/>
      <c r="J2" s="2058"/>
      <c r="K2" s="2059"/>
      <c r="L2" s="2058"/>
      <c r="M2" s="2058"/>
    </row>
    <row r="3" spans="1:33" ht="18" customHeight="1" thickBot="1">
      <c r="A3" s="833" t="s">
        <v>519</v>
      </c>
      <c r="B3" s="834">
        <f ca="1">IF(ISERROR(B2*10000/F43),0,ROUND(B2*10000/F43,0))</f>
        <v>32874</v>
      </c>
      <c r="C3" s="2058"/>
      <c r="D3" s="2056"/>
      <c r="E3" s="2057"/>
      <c r="F3" s="2057"/>
      <c r="G3" s="1590"/>
      <c r="H3" s="776" t="s">
        <v>695</v>
      </c>
      <c r="I3" s="1363"/>
      <c r="J3" s="1363"/>
      <c r="K3" s="1591"/>
      <c r="L3" s="1363"/>
      <c r="M3" s="1363"/>
    </row>
    <row r="4" spans="1:33" ht="18" customHeight="1">
      <c r="A4" s="777" t="s">
        <v>630</v>
      </c>
      <c r="B4" s="778" t="s">
        <v>631</v>
      </c>
      <c r="C4" s="778" t="s">
        <v>1730</v>
      </c>
      <c r="D4" s="778" t="s">
        <v>633</v>
      </c>
      <c r="E4" s="779" t="s">
        <v>1731</v>
      </c>
      <c r="F4" s="780"/>
      <c r="G4" s="1592"/>
      <c r="H4" s="777" t="s">
        <v>1728</v>
      </c>
      <c r="I4" s="778" t="s">
        <v>631</v>
      </c>
      <c r="J4" s="778" t="s">
        <v>1730</v>
      </c>
      <c r="K4" s="778" t="s">
        <v>633</v>
      </c>
      <c r="L4" s="779" t="s">
        <v>634</v>
      </c>
      <c r="M4" s="780"/>
    </row>
    <row r="5" spans="1:33" ht="18" customHeight="1">
      <c r="A5" s="781">
        <v>1</v>
      </c>
      <c r="B5" s="782" t="s">
        <v>2458</v>
      </c>
      <c r="C5" s="55">
        <f ca="1">C6+C10+C12</f>
        <v>647</v>
      </c>
      <c r="D5" s="2497" t="s">
        <v>2461</v>
      </c>
      <c r="E5" s="2491"/>
      <c r="F5" s="2492"/>
      <c r="G5" s="1592"/>
      <c r="H5" s="781">
        <v>1</v>
      </c>
      <c r="I5" s="782" t="s">
        <v>2458</v>
      </c>
      <c r="J5" s="55">
        <f ca="1">J6+J10+J12</f>
        <v>0</v>
      </c>
      <c r="K5" s="2497" t="s">
        <v>2461</v>
      </c>
      <c r="L5" s="2491"/>
      <c r="M5" s="2492"/>
    </row>
    <row r="6" spans="1:33" ht="18" customHeight="1">
      <c r="A6" s="1831" t="s">
        <v>1824</v>
      </c>
      <c r="B6" s="3450" t="s">
        <v>2463</v>
      </c>
      <c r="C6" s="783">
        <f ca="1">ROUND(F6*F8*F7*(1-F9)/10000,0)</f>
        <v>647</v>
      </c>
      <c r="D6" s="2498" t="s">
        <v>2462</v>
      </c>
      <c r="E6" s="784" t="s">
        <v>637</v>
      </c>
      <c r="F6" s="785">
        <f ca="1">INDIRECT("'数据-取费表'!u"&amp;$G$1)</f>
        <v>5.6</v>
      </c>
      <c r="G6" s="1592"/>
      <c r="H6" s="2505" t="s">
        <v>1824</v>
      </c>
      <c r="I6" s="3450" t="s">
        <v>2463</v>
      </c>
      <c r="J6" s="783">
        <f ca="1">ROUND(M6*M8*M7*(1-M9)/10000,0)</f>
        <v>0</v>
      </c>
      <c r="K6" s="341" t="s">
        <v>636</v>
      </c>
      <c r="L6" s="784" t="s">
        <v>637</v>
      </c>
      <c r="M6" s="785">
        <f ca="1">INDIRECT("'数据-取费表'!z"&amp;$G$1)</f>
        <v>0</v>
      </c>
    </row>
    <row r="7" spans="1:33" ht="18" customHeight="1">
      <c r="A7" s="2501"/>
      <c r="B7" s="3451"/>
      <c r="C7" s="788"/>
      <c r="D7" s="789"/>
      <c r="E7" s="784" t="s">
        <v>638</v>
      </c>
      <c r="F7" s="785">
        <f ca="1">IF(INDIRECT("'数据-取费表'!ah"&amp;$G$1)="",INDIRECT("'数据-取费表'!k"&amp;$G$1),INDIRECT("'数据-取费表'!ah"&amp;$G$1))</f>
        <v>3518</v>
      </c>
      <c r="G7" s="1592"/>
      <c r="H7" s="2490"/>
      <c r="I7" s="3451"/>
      <c r="J7" s="788"/>
      <c r="K7" s="789"/>
      <c r="L7" s="784" t="s">
        <v>638</v>
      </c>
      <c r="M7" s="785">
        <f ca="1">F7</f>
        <v>3518</v>
      </c>
    </row>
    <row r="8" spans="1:33" ht="18" customHeight="1">
      <c r="A8" s="2494"/>
      <c r="B8" s="3452"/>
      <c r="C8" s="788"/>
      <c r="D8" s="789"/>
      <c r="E8" s="784" t="s">
        <v>639</v>
      </c>
      <c r="F8" s="785">
        <f ca="1">INDIRECT("'数据-取费表'!ai"&amp;$G$1)</f>
        <v>365</v>
      </c>
      <c r="G8" s="1592"/>
      <c r="H8" s="2490"/>
      <c r="I8" s="3452"/>
      <c r="J8" s="788"/>
      <c r="K8" s="789"/>
      <c r="L8" s="784" t="s">
        <v>639</v>
      </c>
      <c r="M8" s="785">
        <f ca="1">INDIRECT("'数据-取费表'!ai"&amp;$G$1)</f>
        <v>365</v>
      </c>
    </row>
    <row r="9" spans="1:33" ht="18" customHeight="1">
      <c r="A9" s="786"/>
      <c r="B9" s="3453"/>
      <c r="C9" s="788"/>
      <c r="D9" s="789"/>
      <c r="E9" s="784" t="s">
        <v>640</v>
      </c>
      <c r="F9" s="794">
        <f ca="1">INDIRECT("'数据-取费表'!w"&amp;$G$1)</f>
        <v>0.1</v>
      </c>
      <c r="G9" s="1592"/>
      <c r="H9" s="2506"/>
      <c r="I9" s="3452"/>
      <c r="J9" s="788"/>
      <c r="K9" s="789"/>
      <c r="L9" s="795" t="s">
        <v>640</v>
      </c>
      <c r="M9" s="796">
        <f ca="1">INDIRECT("'数据-取费表'!ab"&amp;$G$1)</f>
        <v>0</v>
      </c>
    </row>
    <row r="10" spans="1:33" ht="18" customHeight="1">
      <c r="A10" s="1831" t="s">
        <v>1825</v>
      </c>
      <c r="B10" s="2495" t="s">
        <v>2459</v>
      </c>
      <c r="C10" s="799">
        <f ca="1">ROUND(IF(F10="押一",C6/12*F11,IF(F10="押二",C6/12*2*F11,IF(F10="押三",C6/12*3*F11,C11*F11))),0)</f>
        <v>0</v>
      </c>
      <c r="D10" s="2502" t="s">
        <v>2968</v>
      </c>
      <c r="E10" s="2499" t="s">
        <v>2464</v>
      </c>
      <c r="F10" s="2622" t="s">
        <v>3428</v>
      </c>
      <c r="G10" s="1592"/>
      <c r="H10" s="2562" t="s">
        <v>1825</v>
      </c>
      <c r="I10" s="2567" t="s">
        <v>2459</v>
      </c>
      <c r="J10" s="783">
        <f ca="1">ROUND(IF(M10="押一",J6/12*M11,IF(M10="押二",J6/12*2*M11,IF(M10="押三",J6/12*3*M11,J11*M11))),0)</f>
        <v>0</v>
      </c>
      <c r="K10" s="2502" t="s">
        <v>2968</v>
      </c>
      <c r="L10" s="2499" t="s">
        <v>2464</v>
      </c>
      <c r="M10" s="2622"/>
    </row>
    <row r="11" spans="1:33" ht="18" customHeight="1">
      <c r="A11" s="790"/>
      <c r="B11" s="2496" t="s">
        <v>2573</v>
      </c>
      <c r="C11" s="2500"/>
      <c r="D11" s="789"/>
      <c r="E11" s="2499" t="s">
        <v>2456</v>
      </c>
      <c r="F11" s="796">
        <f ca="1">'数据-取费表'!B39</f>
        <v>1.4999999999999999E-2</v>
      </c>
      <c r="G11" s="1592"/>
      <c r="H11" s="2563"/>
      <c r="I11" s="2496" t="s">
        <v>2573</v>
      </c>
      <c r="J11" s="2500"/>
      <c r="K11" s="2564"/>
      <c r="L11" s="2499" t="s">
        <v>2456</v>
      </c>
      <c r="M11" s="2493">
        <f ca="1">'数据-取费表'!B39</f>
        <v>1.4999999999999999E-2</v>
      </c>
    </row>
    <row r="12" spans="1:33" ht="18" customHeight="1" thickBot="1">
      <c r="A12" s="2538" t="s">
        <v>2467</v>
      </c>
      <c r="B12" s="2539" t="s">
        <v>2460</v>
      </c>
      <c r="C12" s="2540"/>
      <c r="D12" s="2541"/>
      <c r="E12" s="2542"/>
      <c r="F12" s="2543"/>
      <c r="G12" s="1592"/>
      <c r="H12" s="2552" t="s">
        <v>2467</v>
      </c>
      <c r="I12" s="2565" t="s">
        <v>2460</v>
      </c>
      <c r="J12" s="2566"/>
      <c r="K12" s="2541"/>
      <c r="L12" s="2542"/>
      <c r="M12" s="2555"/>
    </row>
    <row r="13" spans="1:33" ht="18" customHeight="1" thickTop="1">
      <c r="A13" s="1830">
        <v>2</v>
      </c>
      <c r="B13" s="1828" t="s">
        <v>644</v>
      </c>
      <c r="C13" s="792">
        <f ca="1">ROUND(C29*F13,0)</f>
        <v>1903</v>
      </c>
      <c r="D13" s="1835" t="s">
        <v>2298</v>
      </c>
      <c r="E13" s="1835" t="s">
        <v>643</v>
      </c>
      <c r="F13" s="2537">
        <f ca="1">INDIRECT("'数据-取费表'!y"&amp;$G$1)</f>
        <v>1</v>
      </c>
      <c r="G13" s="1592"/>
      <c r="H13" s="1830">
        <v>2</v>
      </c>
      <c r="I13" s="1828" t="s">
        <v>644</v>
      </c>
      <c r="J13" s="1820">
        <f ca="1">ROUND(J14*J15,0)</f>
        <v>0</v>
      </c>
      <c r="K13" s="1822" t="s">
        <v>642</v>
      </c>
      <c r="L13" s="2553"/>
      <c r="M13" s="2554"/>
    </row>
    <row r="14" spans="1:33" ht="18" customHeight="1">
      <c r="A14" s="1648" t="s">
        <v>1831</v>
      </c>
      <c r="B14" s="784" t="s">
        <v>645</v>
      </c>
      <c r="C14" s="804">
        <f ca="1">INDIRECT("'数据-取费表'!m"&amp;$G$1)+INDIRECT("'数据-取费表'!t"&amp;$G$1)</f>
        <v>1360</v>
      </c>
      <c r="D14" s="3201" t="s">
        <v>1745</v>
      </c>
      <c r="E14" s="3200"/>
      <c r="F14" s="805"/>
      <c r="G14" s="1592"/>
      <c r="H14" s="1649" t="s">
        <v>1824</v>
      </c>
      <c r="I14" s="2232" t="s">
        <v>2824</v>
      </c>
      <c r="J14" s="53">
        <f ca="1">C29</f>
        <v>1903</v>
      </c>
      <c r="K14" s="26"/>
      <c r="L14" s="801"/>
      <c r="M14" s="802"/>
    </row>
    <row r="15" spans="1:33" s="2065" customFormat="1" ht="18" customHeight="1" thickBot="1">
      <c r="A15" s="1648" t="s">
        <v>1832</v>
      </c>
      <c r="B15" s="784" t="s">
        <v>647</v>
      </c>
      <c r="C15" s="53">
        <f ca="1">ROUND(C14*F15,0)</f>
        <v>41</v>
      </c>
      <c r="D15" s="806" t="s">
        <v>648</v>
      </c>
      <c r="E15" s="806" t="s">
        <v>649</v>
      </c>
      <c r="F15" s="807">
        <f>'数据-取费表'!B33</f>
        <v>0.03</v>
      </c>
      <c r="G15" s="1593"/>
      <c r="H15" s="2552" t="s">
        <v>1889</v>
      </c>
      <c r="I15" s="2547" t="s">
        <v>643</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1833</v>
      </c>
      <c r="B16" s="784" t="s">
        <v>650</v>
      </c>
      <c r="C16" s="53">
        <f ca="1">ROUND(INDIRECT("'数据-取费表'!m"&amp;$G$1)*F16,0)</f>
        <v>0</v>
      </c>
      <c r="D16" s="784" t="s">
        <v>648</v>
      </c>
      <c r="E16" s="784" t="s">
        <v>649</v>
      </c>
      <c r="F16" s="809">
        <f ca="1">IF(INDIRECT("'数据-取费表'!c"&amp;$G$1)="住宅",'数据-取费表'!B34,0)</f>
        <v>0</v>
      </c>
      <c r="G16" s="1592"/>
      <c r="H16" s="1830" t="s">
        <v>1748</v>
      </c>
      <c r="I16" s="1828" t="s">
        <v>1749</v>
      </c>
      <c r="J16" s="792">
        <f ca="1">ROUND(J17+J22+J23+J24,0)</f>
        <v>191</v>
      </c>
      <c r="K16" s="1822" t="s">
        <v>652</v>
      </c>
      <c r="L16" s="3203"/>
      <c r="M16" s="2492"/>
    </row>
    <row r="17" spans="1:33" s="2065" customFormat="1" ht="18" customHeight="1">
      <c r="A17" s="1648" t="s">
        <v>1887</v>
      </c>
      <c r="B17" s="784" t="s">
        <v>653</v>
      </c>
      <c r="C17" s="53">
        <f ca="1">ROUND(F17*(F43+INDIRECT("'数据-取费表'!S"&amp;$G$1))/10000,0)</f>
        <v>81</v>
      </c>
      <c r="D17" s="784" t="s">
        <v>654</v>
      </c>
      <c r="E17" s="784" t="s">
        <v>655</v>
      </c>
      <c r="F17" s="56">
        <f>'数据-取费表'!B35</f>
        <v>200</v>
      </c>
      <c r="G17" s="1593"/>
      <c r="H17" s="1649" t="s">
        <v>1824</v>
      </c>
      <c r="I17" s="784" t="s">
        <v>656</v>
      </c>
      <c r="J17" s="53">
        <f ca="1">ROUND(IF(项目基本情况!B11="自然人",J5*M17,J18+J19+J20),0)</f>
        <v>162</v>
      </c>
      <c r="K17" s="3201" t="s">
        <v>657</v>
      </c>
      <c r="L17" s="3202" t="s">
        <v>658</v>
      </c>
      <c r="M17" s="810" t="str">
        <f ca="1">IF(项目基本情况!B11="企业","",IF(INDIRECT("'数据-取费表'!c"&amp;$G$1)="住宅",5%,IF(M6*M7*M8/12/(1+'数据-取费表'!C42)&gt;20000,12%,7%)))</f>
        <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1888</v>
      </c>
      <c r="B18" s="784" t="s">
        <v>659</v>
      </c>
      <c r="C18" s="53">
        <f ca="1">ROUND(C14*F18,0)</f>
        <v>20</v>
      </c>
      <c r="D18" s="784" t="s">
        <v>648</v>
      </c>
      <c r="E18" s="784" t="s">
        <v>649</v>
      </c>
      <c r="F18" s="809">
        <f>'数据-取费表'!B36</f>
        <v>1.4999999999999999E-2</v>
      </c>
      <c r="G18" s="1593"/>
      <c r="H18" s="1648" t="s">
        <v>1831</v>
      </c>
      <c r="I18" s="784" t="s">
        <v>1755</v>
      </c>
      <c r="J18" s="53">
        <f ca="1">ROUND(J5*M18/1.05,1)</f>
        <v>0</v>
      </c>
      <c r="K18" s="3202" t="s">
        <v>661</v>
      </c>
      <c r="L18" s="784" t="s">
        <v>649</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1824</v>
      </c>
      <c r="B19" s="784" t="s">
        <v>662</v>
      </c>
      <c r="C19" s="53">
        <f ca="1">SUM(C14:C18)</f>
        <v>1502</v>
      </c>
      <c r="D19" s="261" t="s">
        <v>663</v>
      </c>
      <c r="E19" s="3204"/>
      <c r="F19" s="56"/>
      <c r="G19" s="1592"/>
      <c r="H19" s="1648" t="s">
        <v>1832</v>
      </c>
      <c r="I19" s="784" t="s">
        <v>664</v>
      </c>
      <c r="J19" s="53">
        <f ca="1">IF(K19="按租金收入计税",ROUND(J5*M19,1),ROUND(C29*F33*0.7,1))</f>
        <v>159.9</v>
      </c>
      <c r="K19" s="811" t="s">
        <v>665</v>
      </c>
      <c r="L19" s="784" t="s">
        <v>649</v>
      </c>
      <c r="M19" s="809">
        <f>IF(K19="按租金收入计税",'数据-取费表'!B51,'数据-取费表'!B50)</f>
        <v>1.2E-2</v>
      </c>
    </row>
    <row r="20" spans="1:33" s="2065" customFormat="1" ht="18" customHeight="1">
      <c r="A20" s="1649" t="s">
        <v>1889</v>
      </c>
      <c r="B20" s="784" t="s">
        <v>666</v>
      </c>
      <c r="C20" s="53">
        <f ca="1">ROUND(C19*F20,0)</f>
        <v>30</v>
      </c>
      <c r="D20" s="812" t="s">
        <v>667</v>
      </c>
      <c r="E20" s="784" t="s">
        <v>649</v>
      </c>
      <c r="F20" s="809">
        <f>'数据-取费表'!B37</f>
        <v>0.02</v>
      </c>
      <c r="G20" s="1593"/>
      <c r="H20" s="1651" t="s">
        <v>1833</v>
      </c>
      <c r="I20" s="341" t="s">
        <v>1760</v>
      </c>
      <c r="J20" s="54">
        <f ca="1">ROUND(M20*M21/10000,0)</f>
        <v>2</v>
      </c>
      <c r="K20" s="814" t="s">
        <v>669</v>
      </c>
      <c r="L20" s="784" t="s">
        <v>1762</v>
      </c>
      <c r="M20" s="640">
        <f>'数据-取费表'!B52</f>
        <v>12</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1890</v>
      </c>
      <c r="B21" s="784" t="s">
        <v>671</v>
      </c>
      <c r="C21" s="53" t="s">
        <v>1764</v>
      </c>
      <c r="D21" s="812" t="s">
        <v>2299</v>
      </c>
      <c r="E21" s="784" t="s">
        <v>673</v>
      </c>
      <c r="F21" s="809">
        <f>'数据-取费表'!B38</f>
        <v>0.02</v>
      </c>
      <c r="G21" s="1593"/>
      <c r="H21" s="2507"/>
      <c r="I21" s="793"/>
      <c r="J21" s="69"/>
      <c r="K21" s="816"/>
      <c r="L21" s="784" t="s">
        <v>674</v>
      </c>
      <c r="M21" s="785">
        <f ca="1">INDIRECT("'数据-取费表'!r"&amp;$G$1)</f>
        <v>1601.26</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1891</v>
      </c>
      <c r="B22" s="784" t="s">
        <v>675</v>
      </c>
      <c r="C22" s="53"/>
      <c r="D22" s="2573" t="str">
        <f>IF(F23&lt;=1,"单利计息。","复利计息。")&amp;"建造成本、管理费用、销售费用产生的利息。"</f>
        <v>复利计息。建造成本、管理费用、销售费用产生的利息。</v>
      </c>
      <c r="E22" s="3204"/>
      <c r="F22" s="56"/>
      <c r="G22" s="1592"/>
      <c r="H22" s="1649" t="s">
        <v>1889</v>
      </c>
      <c r="I22" s="784" t="s">
        <v>676</v>
      </c>
      <c r="J22" s="53">
        <f ca="1">ROUND(J14*M22,0)</f>
        <v>29</v>
      </c>
      <c r="K22" s="3202" t="s">
        <v>1769</v>
      </c>
      <c r="L22" s="784" t="s">
        <v>649</v>
      </c>
      <c r="M22" s="817">
        <f ca="1">INDIRECT("'数据-取费表'!Ak"&amp;$G$1)</f>
        <v>1.4999999999999999E-2</v>
      </c>
    </row>
    <row r="23" spans="1:33" s="2065" customFormat="1" ht="18" customHeight="1">
      <c r="A23" s="1648" t="s">
        <v>1831</v>
      </c>
      <c r="B23" s="784" t="s">
        <v>2437</v>
      </c>
      <c r="C23" s="53">
        <f ca="1">ROUND(IF('数据-取费表'!B22&lt;=1,(C19+C20)*F24*F23/2,(C19+C20)*(POWER((1+F24),F23/2)-1)),0)</f>
        <v>73</v>
      </c>
      <c r="D23" s="2572" t="str">
        <f>IF(F23&lt;=1,"(建造成本+管理费用)×利率×(建设周期÷2)","(建造成本+管理费用)×((1+利率)^(建设周期÷2)-1)")</f>
        <v>(建造成本+管理费用)×((1+利率)^(建设周期÷2)-1)</v>
      </c>
      <c r="E23" s="784" t="s">
        <v>678</v>
      </c>
      <c r="F23" s="640">
        <f>'数据-取费表'!B20</f>
        <v>2</v>
      </c>
      <c r="G23" s="1593"/>
      <c r="H23" s="1649" t="s">
        <v>1890</v>
      </c>
      <c r="I23" s="784" t="s">
        <v>679</v>
      </c>
      <c r="J23" s="53">
        <f ca="1">ROUND(J13*M23,0)</f>
        <v>0</v>
      </c>
      <c r="K23" s="3202" t="s">
        <v>680</v>
      </c>
      <c r="L23" s="784" t="s">
        <v>649</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1832</v>
      </c>
      <c r="B24" s="784" t="s">
        <v>1772</v>
      </c>
      <c r="C24" s="53">
        <f ca="1">ROUND(IF('数据-取费表'!B22&lt;=1,F21*F24*F23/2,F21*(POWER((1+F24),F23/2)-1)),4)</f>
        <v>1E-3</v>
      </c>
      <c r="D24" s="2572" t="str">
        <f>IF(F23&lt;=1,"销售费用×利率×(建设周期÷2)","销售费用×((1+利率)^(建设周期÷2)-1)")</f>
        <v>销售费用×((1+利率)^(建设周期÷2)-1)</v>
      </c>
      <c r="E24" s="784" t="s">
        <v>682</v>
      </c>
      <c r="F24" s="819">
        <f ca="1">'数据-取费表'!B40</f>
        <v>4.7500000000000001E-2</v>
      </c>
      <c r="G24" s="1593"/>
      <c r="H24" s="2552" t="s">
        <v>1891</v>
      </c>
      <c r="I24" s="2547" t="s">
        <v>666</v>
      </c>
      <c r="J24" s="2545">
        <f ca="1">ROUND(J5*M24,0)</f>
        <v>0</v>
      </c>
      <c r="K24" s="2546" t="s">
        <v>683</v>
      </c>
      <c r="L24" s="2547" t="s">
        <v>649</v>
      </c>
      <c r="M24" s="2543">
        <f ca="1">INDIRECT("'数据-取费表'!Am"&amp;$G$1)</f>
        <v>0.01</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1840</v>
      </c>
      <c r="B25" s="784" t="s">
        <v>684</v>
      </c>
      <c r="C25" s="53"/>
      <c r="D25" s="261" t="s">
        <v>685</v>
      </c>
      <c r="E25" s="3204"/>
      <c r="F25" s="56"/>
      <c r="G25" s="1592"/>
      <c r="H25" s="1830" t="s">
        <v>1776</v>
      </c>
      <c r="I25" s="3011" t="s">
        <v>2821</v>
      </c>
      <c r="J25" s="792">
        <f ca="1">J5-J16</f>
        <v>-191</v>
      </c>
      <c r="K25" s="2549" t="s">
        <v>700</v>
      </c>
      <c r="L25" s="2550"/>
      <c r="M25" s="2551"/>
    </row>
    <row r="26" spans="1:33" ht="18" customHeight="1">
      <c r="A26" s="1648" t="s">
        <v>1831</v>
      </c>
      <c r="B26" s="784" t="s">
        <v>2438</v>
      </c>
      <c r="C26" s="53">
        <f ca="1">ROUND((C19+C20)*F26,0)</f>
        <v>153</v>
      </c>
      <c r="D26" s="812" t="s">
        <v>701</v>
      </c>
      <c r="E26" s="795" t="s">
        <v>702</v>
      </c>
      <c r="F26" s="794">
        <f ca="1">INDIRECT("'数据-取费表'!q"&amp;$G$1)</f>
        <v>0.1</v>
      </c>
      <c r="G26" s="1592"/>
      <c r="H26" s="2503" t="s">
        <v>1780</v>
      </c>
      <c r="I26" s="2233" t="s">
        <v>2826</v>
      </c>
      <c r="J26" s="783">
        <f ca="1">IF(J5&lt;&gt;0,ROUND(J25*(1-((1+M28)/(1+M26))^M27)/(M26-M28),0),0)</f>
        <v>0</v>
      </c>
      <c r="K26" s="814" t="s">
        <v>704</v>
      </c>
      <c r="L26" s="784" t="s">
        <v>2419</v>
      </c>
      <c r="M26" s="794">
        <f ca="1">INDIRECT("'数据-取费表'!I"&amp;$G$1)</f>
        <v>5.5E-2</v>
      </c>
    </row>
    <row r="27" spans="1:33" ht="18" customHeight="1">
      <c r="A27" s="1648" t="s">
        <v>1832</v>
      </c>
      <c r="B27" s="784" t="s">
        <v>686</v>
      </c>
      <c r="C27" s="53">
        <f ca="1">ROUND(F21*F26,4)</f>
        <v>2E-3</v>
      </c>
      <c r="D27" s="812" t="s">
        <v>706</v>
      </c>
      <c r="E27" s="806"/>
      <c r="F27" s="807"/>
      <c r="G27" s="1592"/>
      <c r="H27" s="2504"/>
      <c r="I27" s="787"/>
      <c r="J27" s="788"/>
      <c r="K27" s="821" t="s">
        <v>707</v>
      </c>
      <c r="L27" s="784" t="s">
        <v>708</v>
      </c>
      <c r="M27" s="822">
        <f ca="1">INDIRECT("'数据-取费表'!ag"&amp;$G$1)</f>
        <v>0</v>
      </c>
    </row>
    <row r="28" spans="1:33" s="2065" customFormat="1" ht="18" customHeight="1">
      <c r="A28" s="1650" t="s">
        <v>1841</v>
      </c>
      <c r="B28" s="784" t="s">
        <v>687</v>
      </c>
      <c r="C28" s="53">
        <f>ROUND(F28/(1+'数据-取费表'!C42),4)</f>
        <v>5.33E-2</v>
      </c>
      <c r="D28" s="812" t="s">
        <v>2300</v>
      </c>
      <c r="E28" s="784" t="s">
        <v>649</v>
      </c>
      <c r="F28" s="809">
        <f>'数据-取费表'!B41</f>
        <v>5.6000000000000001E-2</v>
      </c>
      <c r="G28" s="1593"/>
      <c r="H28" s="1830"/>
      <c r="I28" s="791"/>
      <c r="J28" s="792"/>
      <c r="K28" s="816"/>
      <c r="L28" s="784" t="s">
        <v>1786</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1892</v>
      </c>
      <c r="B29" s="2542" t="s">
        <v>2301</v>
      </c>
      <c r="C29" s="2545">
        <f ca="1">ROUND((C19+C20+C23+C26)/(1-F21-C24-C27-C28),0)</f>
        <v>1903</v>
      </c>
      <c r="D29" s="2546"/>
      <c r="E29" s="2547"/>
      <c r="F29" s="2548"/>
      <c r="G29" s="1593"/>
      <c r="H29" s="823" t="s">
        <v>1787</v>
      </c>
      <c r="I29" s="824" t="s">
        <v>1788</v>
      </c>
      <c r="J29" s="825">
        <f ca="1">ROUND(J26/(1+F40)^F41,0)</f>
        <v>0</v>
      </c>
      <c r="K29" s="826" t="s">
        <v>688</v>
      </c>
      <c r="L29" s="827"/>
      <c r="M29" s="828">
        <f ca="1">INDIRECT("'数据-取费表'!k"&amp;$G$1)</f>
        <v>3518</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1748</v>
      </c>
      <c r="B30" s="1828" t="s">
        <v>1749</v>
      </c>
      <c r="C30" s="792">
        <f ca="1">ROUND(C31+C36+C37+C38,0)</f>
        <v>152</v>
      </c>
      <c r="D30" s="1822" t="s">
        <v>652</v>
      </c>
      <c r="E30" s="3203"/>
      <c r="F30" s="2492"/>
      <c r="G30" s="2063"/>
      <c r="H30" s="2066"/>
      <c r="I30" s="2067"/>
      <c r="J30" s="2068"/>
      <c r="K30" s="2069"/>
      <c r="L30" s="2070"/>
      <c r="M30" s="2071"/>
    </row>
    <row r="31" spans="1:33" ht="18" customHeight="1">
      <c r="A31" s="1649" t="s">
        <v>1824</v>
      </c>
      <c r="B31" s="784" t="s">
        <v>656</v>
      </c>
      <c r="C31" s="53">
        <f ca="1">ROUND(IF(项目基本情况!B11="自然人",C5*F31,C32+C33+C34),1)</f>
        <v>114</v>
      </c>
      <c r="D31" s="3201" t="s">
        <v>657</v>
      </c>
      <c r="E31" s="3202" t="s">
        <v>690</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8" t="s">
        <v>1831</v>
      </c>
      <c r="B32" s="784" t="s">
        <v>1755</v>
      </c>
      <c r="C32" s="53">
        <f ca="1">ROUND(C5*F32/1.05,1)</f>
        <v>34.5</v>
      </c>
      <c r="D32" s="3202" t="s">
        <v>661</v>
      </c>
      <c r="E32" s="784" t="s">
        <v>649</v>
      </c>
      <c r="F32" s="809">
        <f>'数据-取费表'!B41</f>
        <v>5.6000000000000001E-2</v>
      </c>
      <c r="G32" s="2063"/>
      <c r="H32" s="2072"/>
      <c r="I32" s="2073"/>
      <c r="J32" s="2074"/>
      <c r="K32" s="2075"/>
      <c r="L32" s="2076"/>
      <c r="M32" s="2077"/>
    </row>
    <row r="33" spans="1:18" ht="18" customHeight="1">
      <c r="A33" s="1648" t="s">
        <v>1832</v>
      </c>
      <c r="B33" s="784" t="s">
        <v>1758</v>
      </c>
      <c r="C33" s="53">
        <f ca="1">IF(D33="按租金收入计税",ROUND(C5*F33,1),IF(D33="按房产原值计税",ROUND(C29*F33*0.7,1),INDIRECT("'数据-取费表'!Aj"&amp;$G$1)))</f>
        <v>77.599999999999994</v>
      </c>
      <c r="D33" s="811" t="s">
        <v>3417</v>
      </c>
      <c r="E33" s="784" t="s">
        <v>649</v>
      </c>
      <c r="F33" s="809">
        <f>IF(D33="按租金收入计税",'数据-取费表'!B51,'数据-取费表'!B50)</f>
        <v>0.12</v>
      </c>
      <c r="G33" s="2063"/>
      <c r="H33" s="2078"/>
      <c r="I33" s="2078"/>
      <c r="J33" s="2078"/>
      <c r="K33" s="2079"/>
      <c r="L33" s="2078"/>
      <c r="M33" s="2078"/>
    </row>
    <row r="34" spans="1:18" ht="18" customHeight="1">
      <c r="A34" s="1651" t="s">
        <v>1833</v>
      </c>
      <c r="B34" s="341" t="s">
        <v>1760</v>
      </c>
      <c r="C34" s="54">
        <f ca="1">ROUND(F34*F35/10000,1)</f>
        <v>1.9</v>
      </c>
      <c r="D34" s="814" t="s">
        <v>1761</v>
      </c>
      <c r="E34" s="784" t="s">
        <v>1762</v>
      </c>
      <c r="F34" s="640">
        <f>'数据-取费表'!B52</f>
        <v>12</v>
      </c>
      <c r="G34" s="2063"/>
      <c r="H34" s="2066"/>
      <c r="I34" s="835" t="s">
        <v>1813</v>
      </c>
      <c r="J34" s="836"/>
      <c r="K34" s="2081"/>
      <c r="L34" s="2080"/>
      <c r="M34" s="2080"/>
    </row>
    <row r="35" spans="1:18" ht="18" customHeight="1">
      <c r="A35" s="815"/>
      <c r="B35" s="793"/>
      <c r="C35" s="69"/>
      <c r="D35" s="816"/>
      <c r="E35" s="784" t="s">
        <v>674</v>
      </c>
      <c r="F35" s="785">
        <f ca="1">INDIRECT("'数据-取费表'!r"&amp;$G$1)</f>
        <v>1601.26</v>
      </c>
      <c r="G35" s="2063"/>
      <c r="H35" s="2066"/>
      <c r="I35" s="837" t="s">
        <v>1814</v>
      </c>
      <c r="J35" s="838">
        <f ca="1">ROUND(C13*J36,0)</f>
        <v>0</v>
      </c>
      <c r="K35" s="2079"/>
      <c r="L35" s="2078"/>
      <c r="M35" s="2078"/>
    </row>
    <row r="36" spans="1:18" ht="18" customHeight="1">
      <c r="A36" s="1649" t="s">
        <v>1889</v>
      </c>
      <c r="B36" s="784" t="s">
        <v>676</v>
      </c>
      <c r="C36" s="53">
        <f ca="1">ROUND(C29*F36,1)</f>
        <v>28.5</v>
      </c>
      <c r="D36" s="3202" t="s">
        <v>691</v>
      </c>
      <c r="E36" s="784" t="s">
        <v>649</v>
      </c>
      <c r="F36" s="817">
        <f ca="1">INDIRECT("'数据-取费表'!Ak"&amp;$G$1)</f>
        <v>1.4999999999999999E-2</v>
      </c>
      <c r="G36" s="2063"/>
      <c r="H36" s="2078"/>
      <c r="I36" s="839" t="s">
        <v>1815</v>
      </c>
      <c r="J36" s="840">
        <f ca="1">INDIRECT("'数据-取费表'!j"&amp;$G$1)</f>
        <v>0</v>
      </c>
      <c r="K36" s="2083"/>
      <c r="L36" s="2078"/>
      <c r="M36" s="2078"/>
    </row>
    <row r="37" spans="1:18" ht="18" customHeight="1">
      <c r="A37" s="1649" t="s">
        <v>1890</v>
      </c>
      <c r="B37" s="784" t="s">
        <v>679</v>
      </c>
      <c r="C37" s="53">
        <f ca="1">ROUND(C13*F37,1)</f>
        <v>2.9</v>
      </c>
      <c r="D37" s="3202" t="s">
        <v>680</v>
      </c>
      <c r="E37" s="784" t="s">
        <v>649</v>
      </c>
      <c r="F37" s="818">
        <f ca="1">INDIRECT("'数据-取费表'!Al"&amp;$G$1)</f>
        <v>1.5E-3</v>
      </c>
      <c r="G37" s="2063"/>
      <c r="H37" s="2078"/>
      <c r="I37" s="841" t="s">
        <v>1816</v>
      </c>
      <c r="J37" s="842"/>
      <c r="K37" s="2083"/>
      <c r="L37" s="2078"/>
      <c r="M37" s="2078"/>
    </row>
    <row r="38" spans="1:18" ht="18" customHeight="1" thickBot="1">
      <c r="A38" s="2552" t="s">
        <v>1891</v>
      </c>
      <c r="B38" s="2547" t="s">
        <v>666</v>
      </c>
      <c r="C38" s="2545">
        <f ca="1">ROUND(C5*F38,1)</f>
        <v>6.5</v>
      </c>
      <c r="D38" s="2546" t="s">
        <v>683</v>
      </c>
      <c r="E38" s="2547" t="s">
        <v>649</v>
      </c>
      <c r="F38" s="2543">
        <f ca="1">INDIRECT("'数据-取费表'!Am"&amp;$G$1)</f>
        <v>0.01</v>
      </c>
      <c r="G38" s="2063"/>
      <c r="H38" s="2078"/>
      <c r="I38" s="843" t="s">
        <v>1817</v>
      </c>
      <c r="J38" s="844"/>
      <c r="K38" s="2084"/>
      <c r="L38" s="2078"/>
      <c r="M38" s="2078"/>
    </row>
    <row r="39" spans="1:18" ht="24.6" customHeight="1" thickTop="1">
      <c r="A39" s="1830" t="s">
        <v>1776</v>
      </c>
      <c r="B39" s="3011" t="s">
        <v>2821</v>
      </c>
      <c r="C39" s="792">
        <f ca="1">C5-C30</f>
        <v>495</v>
      </c>
      <c r="D39" s="2549" t="s">
        <v>1777</v>
      </c>
      <c r="E39" s="2550"/>
      <c r="F39" s="2551"/>
      <c r="G39" s="2063"/>
      <c r="H39" s="2078"/>
      <c r="I39" s="837" t="s">
        <v>1818</v>
      </c>
      <c r="J39" s="845">
        <f ca="1">ROUND(J35/C39,3)</f>
        <v>0</v>
      </c>
      <c r="K39" s="2084"/>
      <c r="L39" s="2078"/>
      <c r="M39" s="2078"/>
    </row>
    <row r="40" spans="1:18" ht="18" customHeight="1">
      <c r="A40" s="781" t="s">
        <v>1780</v>
      </c>
      <c r="B40" s="2233" t="s">
        <v>2302</v>
      </c>
      <c r="C40" s="783">
        <f ca="1">ROUND(C39*(1-((1+F42)/(1+F40))^F41)/(F40-F42),0)</f>
        <v>11565</v>
      </c>
      <c r="D40" s="814" t="s">
        <v>704</v>
      </c>
      <c r="E40" s="784" t="s">
        <v>2419</v>
      </c>
      <c r="F40" s="794">
        <f ca="1">INDIRECT("'数据-取费表'!I"&amp;$G$1)</f>
        <v>5.5E-2</v>
      </c>
      <c r="G40" s="2063"/>
      <c r="H40" s="2063"/>
      <c r="I40" s="837" t="s">
        <v>1819</v>
      </c>
      <c r="J40" s="845">
        <f ca="1">1-J39</f>
        <v>1</v>
      </c>
      <c r="K40" s="2084"/>
      <c r="L40" s="2063"/>
      <c r="M40" s="2063"/>
    </row>
    <row r="41" spans="1:18" ht="18" customHeight="1">
      <c r="A41" s="786"/>
      <c r="B41" s="787"/>
      <c r="C41" s="788"/>
      <c r="D41" s="821" t="s">
        <v>1808</v>
      </c>
      <c r="E41" s="784" t="s">
        <v>708</v>
      </c>
      <c r="F41" s="822">
        <f ca="1">IF(INDIRECT("'数据-取费表'!af"&amp;$G$1)=0,INDIRECT("'数据-取费表'!ae"&amp;$G$1),INDIRECT("'数据-取费表'!af"&amp;$G$1))</f>
        <v>36.58</v>
      </c>
      <c r="G41" s="2063"/>
      <c r="H41" s="1989"/>
      <c r="I41" s="843" t="s">
        <v>1820</v>
      </c>
      <c r="J41" s="846"/>
      <c r="K41" s="2083"/>
      <c r="L41" s="1989"/>
      <c r="M41" s="1989"/>
    </row>
    <row r="42" spans="1:18" ht="18" customHeight="1">
      <c r="A42" s="790"/>
      <c r="B42" s="791"/>
      <c r="C42" s="792"/>
      <c r="D42" s="816"/>
      <c r="E42" s="784" t="s">
        <v>1786</v>
      </c>
      <c r="F42" s="794">
        <f ca="1">INDIRECT("'数据-取费表'!v"&amp;$G$1)</f>
        <v>0.03</v>
      </c>
      <c r="G42" s="2063"/>
      <c r="H42" s="1989"/>
      <c r="I42" s="847" t="s">
        <v>1821</v>
      </c>
      <c r="J42" s="845">
        <f ca="1">ROUND(C13/C40,3)</f>
        <v>0.16500000000000001</v>
      </c>
      <c r="K42" s="2083"/>
      <c r="L42" s="1989"/>
      <c r="M42" s="1989"/>
    </row>
    <row r="43" spans="1:18" ht="18" customHeight="1" thickBot="1">
      <c r="A43" s="823" t="s">
        <v>1787</v>
      </c>
      <c r="B43" s="824" t="s">
        <v>1810</v>
      </c>
      <c r="C43" s="825">
        <f ca="1">ROUND(C40*10000/F43,0)</f>
        <v>32874</v>
      </c>
      <c r="D43" s="826" t="s">
        <v>1811</v>
      </c>
      <c r="E43" s="827" t="s">
        <v>1812</v>
      </c>
      <c r="F43" s="828">
        <f ca="1">INDIRECT("'数据-取费表'!k"&amp;$G$1)</f>
        <v>3518</v>
      </c>
      <c r="G43" s="2063"/>
      <c r="H43" s="1989"/>
      <c r="I43" s="847" t="s">
        <v>1822</v>
      </c>
      <c r="J43" s="848">
        <f ca="1">1-J42</f>
        <v>0.83499999999999996</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75">
        <f ca="1">C67-C40</f>
        <v>-12080</v>
      </c>
      <c r="D46" s="2086"/>
      <c r="E46" s="2086"/>
      <c r="F46" s="2086"/>
      <c r="I46" s="2379" t="s">
        <v>2343</v>
      </c>
      <c r="J46" s="2380"/>
      <c r="K46" s="2381"/>
      <c r="L46" s="3162">
        <f>IF(OR(M47="住宅",D1="土地（套用方法）"),0,IF(L48&gt;J51,L60,J60))</f>
        <v>0</v>
      </c>
      <c r="O46" s="2395" t="s">
        <v>2410</v>
      </c>
      <c r="P46" s="1592"/>
      <c r="Q46" s="1604"/>
      <c r="R46" s="1592"/>
    </row>
    <row r="47" spans="1:18" s="2060" customFormat="1" ht="18" customHeight="1" thickBot="1">
      <c r="A47" s="2373">
        <v>1</v>
      </c>
      <c r="B47" s="2374" t="s">
        <v>635</v>
      </c>
      <c r="C47" s="2575">
        <f ca="1">C48+C52+C54</f>
        <v>0</v>
      </c>
      <c r="D47" s="2086"/>
      <c r="E47" s="2086"/>
      <c r="F47" s="2086"/>
      <c r="I47" s="3152" t="s">
        <v>2344</v>
      </c>
      <c r="J47" s="2382" t="s">
        <v>3418</v>
      </c>
      <c r="K47" s="3159" t="s">
        <v>2349</v>
      </c>
      <c r="L47" s="3163">
        <f ca="1">INDIRECT("'数据-取费表'!d"&amp;$G$1)</f>
        <v>40</v>
      </c>
      <c r="M47" s="1604" t="str">
        <f>IF(ISNUMBER(FIND("住宅",C1)),"住宅","非住宅")</f>
        <v>非住宅</v>
      </c>
      <c r="O47" s="2396" t="s">
        <v>2375</v>
      </c>
      <c r="P47" s="2397" t="s">
        <v>2376</v>
      </c>
      <c r="Q47" s="2398" t="s">
        <v>2377</v>
      </c>
      <c r="R47" s="2397" t="s">
        <v>2378</v>
      </c>
    </row>
    <row r="48" spans="1:18" s="2060" customFormat="1" ht="18" customHeight="1" thickBot="1">
      <c r="A48" s="2643" t="s">
        <v>1870</v>
      </c>
      <c r="B48" s="2644" t="s">
        <v>2538</v>
      </c>
      <c r="C48" s="2375">
        <f ca="1">ROUND(F48*F50*F49*(1-F51)/10000,0)</f>
        <v>0</v>
      </c>
      <c r="D48" s="2376" t="s">
        <v>636</v>
      </c>
      <c r="E48" s="2377" t="s">
        <v>2297</v>
      </c>
      <c r="F48" s="2378"/>
      <c r="G48" s="2091"/>
      <c r="I48" s="3128" t="s">
        <v>2345</v>
      </c>
      <c r="J48" s="2383" t="s">
        <v>2350</v>
      </c>
      <c r="K48" s="3160" t="s">
        <v>2351</v>
      </c>
      <c r="L48" s="1909">
        <f ca="1">INDIRECT("'数据-取费表'!f"&amp;$G$1)</f>
        <v>38.58</v>
      </c>
      <c r="O48" s="2399" t="s">
        <v>2379</v>
      </c>
      <c r="P48" s="2400" t="s">
        <v>2405</v>
      </c>
      <c r="Q48" s="2401">
        <f ca="1">C40+J29</f>
        <v>11565</v>
      </c>
      <c r="R48" s="2400" t="s">
        <v>2380</v>
      </c>
    </row>
    <row r="49" spans="1:18" s="2060" customFormat="1" ht="18" customHeight="1" thickBot="1">
      <c r="A49" s="786"/>
      <c r="B49" s="787"/>
      <c r="C49" s="788"/>
      <c r="D49" s="789"/>
      <c r="E49" s="784" t="s">
        <v>638</v>
      </c>
      <c r="F49" s="785">
        <f ca="1">F7</f>
        <v>3518</v>
      </c>
      <c r="G49" s="2091"/>
      <c r="H49" s="2094"/>
      <c r="I49" s="3128" t="s">
        <v>2346</v>
      </c>
      <c r="J49" s="2384">
        <v>2020</v>
      </c>
      <c r="K49" s="3161" t="s">
        <v>2352</v>
      </c>
      <c r="L49" s="2385"/>
      <c r="O49" s="2399" t="s">
        <v>2381</v>
      </c>
      <c r="P49" s="2400" t="s">
        <v>2406</v>
      </c>
      <c r="Q49" s="2401">
        <f ca="1">J60</f>
        <v>761</v>
      </c>
      <c r="R49" s="2400" t="s">
        <v>2382</v>
      </c>
    </row>
    <row r="50" spans="1:18" s="2060" customFormat="1" ht="18" customHeight="1" thickBot="1">
      <c r="A50" s="786"/>
      <c r="B50" s="787"/>
      <c r="C50" s="788"/>
      <c r="D50" s="789"/>
      <c r="E50" s="784" t="s">
        <v>639</v>
      </c>
      <c r="F50" s="785">
        <f ca="1">F8</f>
        <v>365</v>
      </c>
      <c r="G50" s="2096"/>
      <c r="H50" s="2094"/>
      <c r="I50" s="3128" t="s">
        <v>2347</v>
      </c>
      <c r="J50" s="3156">
        <f>SUMPRODUCT((I63:I65=J47)*(J62:L62=J48)*(J63:L65))</f>
        <v>60</v>
      </c>
      <c r="K50" s="3161" t="s">
        <v>2353</v>
      </c>
      <c r="L50" s="2385"/>
      <c r="O50" s="2402" t="s">
        <v>2383</v>
      </c>
      <c r="P50" s="2400" t="s">
        <v>2407</v>
      </c>
      <c r="Q50" s="2401">
        <f ca="1">C29</f>
        <v>1903</v>
      </c>
      <c r="R50" s="2400" t="s">
        <v>2380</v>
      </c>
    </row>
    <row r="51" spans="1:18" s="2060" customFormat="1" ht="18" customHeight="1" thickBot="1">
      <c r="A51" s="786"/>
      <c r="B51" s="787"/>
      <c r="C51" s="788"/>
      <c r="D51" s="789"/>
      <c r="E51" s="784" t="s">
        <v>640</v>
      </c>
      <c r="F51" s="2372"/>
      <c r="H51" s="2094"/>
      <c r="I51" s="3153" t="s">
        <v>2348</v>
      </c>
      <c r="J51" s="3157">
        <f>IF(J49="",J50,J49+J50-YEAR('数据-取费表'!B2))</f>
        <v>62</v>
      </c>
      <c r="K51" s="3128" t="s">
        <v>2354</v>
      </c>
      <c r="L51" s="3164">
        <f ca="1">ROUND(-PV(INDIRECT("'数据-取费表'!h"&amp;$G$1),L48,(C39-C13*J36),0),0)</f>
        <v>8393</v>
      </c>
      <c r="O51" s="2402" t="s">
        <v>2384</v>
      </c>
      <c r="P51" s="2400" t="s">
        <v>2385</v>
      </c>
      <c r="Q51" s="2403">
        <f ca="1">J58</f>
        <v>0.4</v>
      </c>
      <c r="R51" s="2404"/>
    </row>
    <row r="52" spans="1:18" s="2060" customFormat="1" ht="18" customHeight="1" thickBot="1">
      <c r="A52" s="781" t="s">
        <v>2536</v>
      </c>
      <c r="B52" s="2495" t="s">
        <v>2459</v>
      </c>
      <c r="C52" s="799">
        <f ca="1">ROUND(IF(F52="押一",C48/12*F11,IF(F52="押二",C48/12*2*F11,IF(F52="押三",C48/12*3*F11,C53*F11))),0)</f>
        <v>0</v>
      </c>
      <c r="D52" s="2502" t="s">
        <v>2968</v>
      </c>
      <c r="E52" s="2499" t="s">
        <v>2464</v>
      </c>
      <c r="F52" s="2622"/>
      <c r="I52" s="3154" t="s">
        <v>2421</v>
      </c>
      <c r="J52" s="2386"/>
      <c r="K52" s="3154" t="s">
        <v>2420</v>
      </c>
      <c r="L52" s="2386"/>
      <c r="O52" s="2402" t="s">
        <v>2386</v>
      </c>
      <c r="P52" s="2400" t="s">
        <v>2387</v>
      </c>
      <c r="Q52" s="2403">
        <f>J52</f>
        <v>0</v>
      </c>
      <c r="R52" s="2404"/>
    </row>
    <row r="53" spans="1:18" s="2060" customFormat="1" ht="39.75" customHeight="1" thickBot="1">
      <c r="A53" s="786"/>
      <c r="B53" s="2496" t="s">
        <v>2573</v>
      </c>
      <c r="C53" s="2500"/>
      <c r="D53" s="2502"/>
      <c r="E53" s="2499"/>
      <c r="F53" s="800"/>
      <c r="I53" s="3155" t="s">
        <v>2973</v>
      </c>
      <c r="J53" s="3158">
        <f ca="1">IF(M47="住宅",IF(D1="——",MAX(J51,L48),MAX(J51,L48-'数据-取费表'!B20)),IF(D1="——",MIN(J51,L48),MIN(J51,L48-'数据-取费表'!B20)))</f>
        <v>36.58</v>
      </c>
      <c r="K53" s="3466" t="s">
        <v>2960</v>
      </c>
      <c r="L53" s="3467"/>
      <c r="O53" s="2402" t="s">
        <v>2388</v>
      </c>
      <c r="P53" s="2400" t="s">
        <v>2389</v>
      </c>
      <c r="Q53" s="2401">
        <f ca="1">J53</f>
        <v>36.58</v>
      </c>
      <c r="R53" s="2400" t="s">
        <v>2390</v>
      </c>
    </row>
    <row r="54" spans="1:18" s="2060" customFormat="1" ht="18" customHeight="1" thickBot="1">
      <c r="A54" s="2538" t="s">
        <v>2467</v>
      </c>
      <c r="B54" s="2539" t="s">
        <v>2460</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2391</v>
      </c>
      <c r="P54" s="2400" t="s">
        <v>2408</v>
      </c>
      <c r="Q54" s="2401">
        <f ca="1">Q48+Q49</f>
        <v>12326</v>
      </c>
      <c r="R54" s="2404" t="s">
        <v>2392</v>
      </c>
    </row>
    <row r="55" spans="1:18" s="2060" customFormat="1" ht="18" customHeight="1" thickTop="1" thickBot="1">
      <c r="A55" s="797">
        <v>2</v>
      </c>
      <c r="B55" s="798" t="s">
        <v>644</v>
      </c>
      <c r="C55" s="799">
        <f ca="1">C13</f>
        <v>1903</v>
      </c>
      <c r="D55" s="795"/>
      <c r="E55" s="795"/>
      <c r="F55" s="800"/>
      <c r="I55" s="3167" t="s">
        <v>2355</v>
      </c>
      <c r="J55" s="3103">
        <f ca="1">ROUND(IF(J47="钢混",J57/J50,1-(1-2%)*(J50-J57)/J50),3)</f>
        <v>0.39</v>
      </c>
      <c r="K55" s="3168" t="s">
        <v>2356</v>
      </c>
      <c r="L55" s="2387"/>
      <c r="O55" s="2405" t="s">
        <v>2411</v>
      </c>
      <c r="P55" s="1592"/>
      <c r="Q55" s="1604"/>
      <c r="R55" s="1592"/>
    </row>
    <row r="56" spans="1:18" s="2060" customFormat="1" ht="42.75" customHeight="1" thickBot="1">
      <c r="A56" s="1650"/>
      <c r="B56" s="2232" t="s">
        <v>2301</v>
      </c>
      <c r="C56" s="53">
        <f ca="1">C29</f>
        <v>1903</v>
      </c>
      <c r="D56" s="3202"/>
      <c r="E56" s="784"/>
      <c r="F56" s="809"/>
      <c r="I56" s="3169" t="s">
        <v>2357</v>
      </c>
      <c r="J56" s="3179" t="s">
        <v>2994</v>
      </c>
      <c r="K56" s="3128" t="s">
        <v>2362</v>
      </c>
      <c r="L56" s="1909" t="str">
        <f ca="1">IF(L48&lt;J51,"——",L48-J51)</f>
        <v>——</v>
      </c>
      <c r="O56" s="2396" t="s">
        <v>2375</v>
      </c>
      <c r="P56" s="2397" t="s">
        <v>2376</v>
      </c>
      <c r="Q56" s="2398" t="s">
        <v>2377</v>
      </c>
      <c r="R56" s="2397" t="s">
        <v>2378</v>
      </c>
    </row>
    <row r="57" spans="1:18" s="2060" customFormat="1" ht="28.5" customHeight="1" thickBot="1">
      <c r="A57" s="797" t="s">
        <v>1748</v>
      </c>
      <c r="B57" s="798" t="s">
        <v>651</v>
      </c>
      <c r="C57" s="799">
        <f ca="1">ROUND(C58+C63+C64+C65,0)</f>
        <v>33</v>
      </c>
      <c r="D57" s="26" t="s">
        <v>652</v>
      </c>
      <c r="E57" s="3204"/>
      <c r="F57" s="56"/>
      <c r="I57" s="3170" t="s">
        <v>2358</v>
      </c>
      <c r="J57" s="3171">
        <f ca="1">IF(OR(M47="住宅",J51&lt;L48,J56="是"),"——",J51-L48)</f>
        <v>23.42</v>
      </c>
      <c r="K57" s="3128" t="s">
        <v>2363</v>
      </c>
      <c r="L57" s="1909" t="str">
        <f ca="1">IF(L48&lt;J51,"——",IF(L55="比较法",L49,IF(L55="基准地价",L50,L51)))</f>
        <v>——</v>
      </c>
      <c r="O57" s="2399" t="s">
        <v>2379</v>
      </c>
      <c r="P57" s="2400" t="s">
        <v>2405</v>
      </c>
      <c r="Q57" s="2401">
        <f ca="1">C40+J29</f>
        <v>11565</v>
      </c>
      <c r="R57" s="2400" t="s">
        <v>2380</v>
      </c>
    </row>
    <row r="58" spans="1:18" s="2060" customFormat="1" ht="28.5" customHeight="1" thickBot="1">
      <c r="A58" s="1649" t="s">
        <v>1824</v>
      </c>
      <c r="B58" s="784" t="s">
        <v>656</v>
      </c>
      <c r="C58" s="53">
        <f ca="1">ROUND(IF(项目基本情况!B11="自然人",C47*F58,C59+C60+C61),1)</f>
        <v>1.9</v>
      </c>
      <c r="D58" s="3201" t="s">
        <v>657</v>
      </c>
      <c r="E58" s="3202" t="s">
        <v>690</v>
      </c>
      <c r="F58" s="810" t="str">
        <f ca="1">IF(项目基本情况!B11="企业","",IF(INDIRECT("'数据-取费表'!c"&amp;$G$1)="住宅",5%,IF(F48*F49*F50/12/(1+'数据-取费表'!C42)&gt;20000,12%,7%)))</f>
        <v/>
      </c>
      <c r="I58" s="3170" t="s">
        <v>2359</v>
      </c>
      <c r="J58" s="3104">
        <f ca="1">IF(J55&lt;0.4,0.4,J55)</f>
        <v>0.4</v>
      </c>
      <c r="K58" s="3128" t="s">
        <v>2364</v>
      </c>
      <c r="L58" s="1909" t="e">
        <f ca="1">ROUND(POWER(1+L52,L47-L48)*(POWER(1+L52,L48)-1)/(POWER(1+L52,L47)-1),4)</f>
        <v>#DIV/0!</v>
      </c>
      <c r="O58" s="2399" t="s">
        <v>2381</v>
      </c>
      <c r="P58" s="2400" t="s">
        <v>2412</v>
      </c>
      <c r="Q58" s="2401">
        <f ca="1">L60</f>
        <v>0</v>
      </c>
      <c r="R58" s="2404" t="s">
        <v>2414</v>
      </c>
    </row>
    <row r="59" spans="1:18" s="2060" customFormat="1" ht="28.5" customHeight="1" thickBot="1">
      <c r="A59" s="1648" t="s">
        <v>1831</v>
      </c>
      <c r="B59" s="784" t="s">
        <v>660</v>
      </c>
      <c r="C59" s="53">
        <f ca="1">ROUND(C47*F59/1.05,1)</f>
        <v>0</v>
      </c>
      <c r="D59" s="3202" t="s">
        <v>661</v>
      </c>
      <c r="E59" s="784" t="s">
        <v>649</v>
      </c>
      <c r="F59" s="809">
        <f t="shared" ref="F59:F65" si="0">F32</f>
        <v>5.6000000000000001E-2</v>
      </c>
      <c r="I59" s="3170" t="s">
        <v>2360</v>
      </c>
      <c r="J59" s="3171">
        <f ca="1">IF(OR(M47="住宅",J51&lt;L48,J56="是"),"——",ROUND(C29*J58,0))</f>
        <v>761</v>
      </c>
      <c r="K59" s="3128"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2383</v>
      </c>
      <c r="P59" s="2400" t="s">
        <v>2413</v>
      </c>
      <c r="Q59" s="2401">
        <f>IF(L55="比较法",L49,IF(L55="基准地价",L50,0))</f>
        <v>0</v>
      </c>
      <c r="R59" s="2400" t="s">
        <v>2380</v>
      </c>
    </row>
    <row r="60" spans="1:18" s="2060" customFormat="1" ht="18" customHeight="1" thickBot="1">
      <c r="A60" s="1648" t="s">
        <v>1832</v>
      </c>
      <c r="B60" s="784" t="s">
        <v>664</v>
      </c>
      <c r="C60" s="53">
        <f ca="1">IF(D60="按租金收入计税",ROUND(C47*F60,1),IF(D60="按房产原值计税",ROUND(C56*F60*0.7,1),INDIRECT("'数据-取费表'!Aj"&amp;$G$1)))</f>
        <v>0</v>
      </c>
      <c r="D60" s="3202" t="str">
        <f>D33</f>
        <v>按租金收入计税</v>
      </c>
      <c r="E60" s="784" t="s">
        <v>649</v>
      </c>
      <c r="F60" s="809">
        <f t="shared" si="0"/>
        <v>0.12</v>
      </c>
      <c r="I60" s="3172" t="s">
        <v>2361</v>
      </c>
      <c r="J60" s="3173">
        <f ca="1">IF(OR(M47="住宅",J51&lt;L48,J56="是"),"0",ROUND(J59/(1+J52)^J53,0))</f>
        <v>761</v>
      </c>
      <c r="K60" s="3174" t="s">
        <v>2366</v>
      </c>
      <c r="L60" s="3173">
        <f ca="1">IF(OR(M47="住宅",L48&lt;J51),0,ROUND(L57*(L58/L59-1),0))</f>
        <v>0</v>
      </c>
      <c r="O60" s="2402" t="s">
        <v>2384</v>
      </c>
      <c r="P60" s="2400" t="s">
        <v>2393</v>
      </c>
      <c r="Q60" s="2403">
        <f>L52</f>
        <v>0</v>
      </c>
      <c r="R60" s="2404"/>
    </row>
    <row r="61" spans="1:18" s="2060" customFormat="1" ht="18" customHeight="1" thickBot="1">
      <c r="A61" s="1651" t="s">
        <v>1833</v>
      </c>
      <c r="B61" s="341" t="s">
        <v>668</v>
      </c>
      <c r="C61" s="54">
        <f ca="1">ROUND(F61*F62/10000,1)</f>
        <v>1.9</v>
      </c>
      <c r="D61" s="814" t="s">
        <v>669</v>
      </c>
      <c r="E61" s="784" t="s">
        <v>670</v>
      </c>
      <c r="F61" s="640">
        <f t="shared" si="0"/>
        <v>12</v>
      </c>
      <c r="K61" s="2087"/>
      <c r="O61" s="2402" t="s">
        <v>2386</v>
      </c>
      <c r="P61" s="2400" t="s">
        <v>2394</v>
      </c>
      <c r="Q61" s="2401" t="e">
        <f ca="1">L58</f>
        <v>#DIV/0!</v>
      </c>
      <c r="R61" s="2404" t="s">
        <v>2395</v>
      </c>
    </row>
    <row r="62" spans="1:18" s="2060" customFormat="1" ht="15.75" thickBot="1">
      <c r="A62" s="815"/>
      <c r="B62" s="793"/>
      <c r="C62" s="69"/>
      <c r="D62" s="816"/>
      <c r="E62" s="784" t="s">
        <v>674</v>
      </c>
      <c r="F62" s="785">
        <f t="shared" ca="1" si="0"/>
        <v>1601.26</v>
      </c>
      <c r="I62" s="3175" t="s">
        <v>2367</v>
      </c>
      <c r="J62" s="3176" t="s">
        <v>2368</v>
      </c>
      <c r="K62" s="3176" t="s">
        <v>2369</v>
      </c>
      <c r="L62" s="3176" t="s">
        <v>2350</v>
      </c>
      <c r="M62" s="3177" t="s">
        <v>2936</v>
      </c>
      <c r="O62" s="2402" t="s">
        <v>2388</v>
      </c>
      <c r="P62" s="2400" t="str">
        <f>K59</f>
        <v>建设期及建筑物耐用年限下的土地年期修正系数Kn</v>
      </c>
      <c r="Q62" s="2401" t="e">
        <f ca="1">L59</f>
        <v>#DIV/0!</v>
      </c>
      <c r="R62" s="2404" t="s">
        <v>2397</v>
      </c>
    </row>
    <row r="63" spans="1:18" s="2060" customFormat="1" ht="15.75" thickBot="1">
      <c r="A63" s="1649" t="s">
        <v>1889</v>
      </c>
      <c r="B63" s="784" t="s">
        <v>676</v>
      </c>
      <c r="C63" s="53">
        <f ca="1">ROUND(C56*F63,1)</f>
        <v>28.5</v>
      </c>
      <c r="D63" s="3202" t="s">
        <v>691</v>
      </c>
      <c r="E63" s="784" t="s">
        <v>649</v>
      </c>
      <c r="F63" s="817">
        <f t="shared" ca="1" si="0"/>
        <v>1.4999999999999999E-2</v>
      </c>
      <c r="I63" s="3175" t="s">
        <v>2370</v>
      </c>
      <c r="J63" s="3176">
        <v>70</v>
      </c>
      <c r="K63" s="3176">
        <v>50</v>
      </c>
      <c r="L63" s="3176">
        <v>80</v>
      </c>
      <c r="M63" s="3178">
        <v>0.02</v>
      </c>
      <c r="O63" s="2399" t="s">
        <v>2391</v>
      </c>
      <c r="P63" s="2400" t="s">
        <v>2408</v>
      </c>
      <c r="Q63" s="2401">
        <f ca="1">Q57+Q58</f>
        <v>11565</v>
      </c>
      <c r="R63" s="2404" t="s">
        <v>2392</v>
      </c>
    </row>
    <row r="64" spans="1:18" s="2060" customFormat="1" ht="16.5" thickBot="1">
      <c r="A64" s="1649" t="s">
        <v>1890</v>
      </c>
      <c r="B64" s="784" t="s">
        <v>679</v>
      </c>
      <c r="C64" s="53">
        <f ca="1">ROUND(C55*F64,1)</f>
        <v>2.9</v>
      </c>
      <c r="D64" s="3202" t="s">
        <v>680</v>
      </c>
      <c r="E64" s="784" t="s">
        <v>649</v>
      </c>
      <c r="F64" s="818">
        <f t="shared" ca="1" si="0"/>
        <v>1.5E-3</v>
      </c>
      <c r="I64" s="3175" t="s">
        <v>2371</v>
      </c>
      <c r="J64" s="3176">
        <v>50</v>
      </c>
      <c r="K64" s="3176">
        <v>35</v>
      </c>
      <c r="L64" s="3176">
        <v>60</v>
      </c>
      <c r="M64" s="846">
        <v>0</v>
      </c>
      <c r="O64" s="2405" t="s">
        <v>2415</v>
      </c>
      <c r="P64" s="1592"/>
      <c r="Q64" s="1604"/>
      <c r="R64" s="1592"/>
    </row>
    <row r="65" spans="1:18" s="2060" customFormat="1" ht="15.75" thickBot="1">
      <c r="A65" s="1649" t="s">
        <v>1891</v>
      </c>
      <c r="B65" s="784" t="s">
        <v>666</v>
      </c>
      <c r="C65" s="53">
        <f ca="1">ROUND(C47*F65,1)</f>
        <v>0</v>
      </c>
      <c r="D65" s="3202" t="s">
        <v>683</v>
      </c>
      <c r="E65" s="784" t="s">
        <v>649</v>
      </c>
      <c r="F65" s="794">
        <f t="shared" ca="1" si="0"/>
        <v>0.01</v>
      </c>
      <c r="I65" s="3175" t="s">
        <v>2372</v>
      </c>
      <c r="J65" s="3176">
        <v>40</v>
      </c>
      <c r="K65" s="3176">
        <v>30</v>
      </c>
      <c r="L65" s="3176">
        <v>50</v>
      </c>
      <c r="M65" s="3178">
        <v>0.02</v>
      </c>
      <c r="O65" s="2396" t="s">
        <v>2375</v>
      </c>
      <c r="P65" s="2397" t="s">
        <v>2376</v>
      </c>
      <c r="Q65" s="2398" t="s">
        <v>2377</v>
      </c>
      <c r="R65" s="2397" t="s">
        <v>2378</v>
      </c>
    </row>
    <row r="66" spans="1:18" s="2060" customFormat="1" ht="24.75" thickBot="1">
      <c r="A66" s="797" t="s">
        <v>1776</v>
      </c>
      <c r="B66" s="3012" t="s">
        <v>2821</v>
      </c>
      <c r="C66" s="799">
        <f ca="1">C47-C57</f>
        <v>-33</v>
      </c>
      <c r="D66" s="3201" t="s">
        <v>700</v>
      </c>
      <c r="E66" s="3199"/>
      <c r="F66" s="820"/>
      <c r="K66" s="2087"/>
      <c r="O66" s="2399" t="s">
        <v>2379</v>
      </c>
      <c r="P66" s="2400" t="s">
        <v>2405</v>
      </c>
      <c r="Q66" s="2401">
        <f ca="1">C40+J29</f>
        <v>11565</v>
      </c>
      <c r="R66" s="2400" t="s">
        <v>2380</v>
      </c>
    </row>
    <row r="67" spans="1:18" s="2060" customFormat="1" ht="20.25" thickBot="1">
      <c r="A67" s="781" t="s">
        <v>1780</v>
      </c>
      <c r="B67" s="2233" t="s">
        <v>2302</v>
      </c>
      <c r="C67" s="783">
        <f ca="1">ROUND(C66*(1-((1+F69)/(1+F67))^F68)/(F67-F69),0)</f>
        <v>-515</v>
      </c>
      <c r="D67" s="814" t="s">
        <v>704</v>
      </c>
      <c r="E67" s="784" t="s">
        <v>705</v>
      </c>
      <c r="F67" s="794">
        <f ca="1">F40</f>
        <v>5.5E-2</v>
      </c>
      <c r="K67" s="2087"/>
      <c r="O67" s="2399" t="s">
        <v>2381</v>
      </c>
      <c r="P67" s="2400" t="s">
        <v>2412</v>
      </c>
      <c r="Q67" s="2401">
        <f ca="1">L60</f>
        <v>0</v>
      </c>
      <c r="R67" s="2404" t="s">
        <v>2414</v>
      </c>
    </row>
    <row r="68" spans="1:18" ht="21.75" thickBot="1">
      <c r="A68" s="786"/>
      <c r="B68" s="787"/>
      <c r="C68" s="788"/>
      <c r="D68" s="821" t="s">
        <v>1808</v>
      </c>
      <c r="E68" s="784" t="s">
        <v>708</v>
      </c>
      <c r="F68" s="822">
        <f ca="1">F41</f>
        <v>36.58</v>
      </c>
      <c r="O68" s="2402" t="s">
        <v>2383</v>
      </c>
      <c r="P68" s="2400" t="s">
        <v>2413</v>
      </c>
      <c r="Q68" s="2406">
        <f ca="1">L51</f>
        <v>8393</v>
      </c>
      <c r="R68" s="2407" t="s">
        <v>2416</v>
      </c>
    </row>
    <row r="69" spans="1:18" ht="20.25" thickBot="1">
      <c r="A69" s="790"/>
      <c r="B69" s="791"/>
      <c r="C69" s="792"/>
      <c r="D69" s="816"/>
      <c r="E69" s="784" t="s">
        <v>710</v>
      </c>
      <c r="F69" s="2372"/>
      <c r="O69" s="2402" t="s">
        <v>2384</v>
      </c>
      <c r="P69" s="2408" t="s">
        <v>2398</v>
      </c>
      <c r="Q69" s="2401">
        <f ca="1">ROUND(Q70-Q71*Q72,0)</f>
        <v>495</v>
      </c>
      <c r="R69" s="2404"/>
    </row>
    <row r="70" spans="1:18" ht="15.75" thickBot="1">
      <c r="A70" s="823" t="s">
        <v>1787</v>
      </c>
      <c r="B70" s="824" t="s">
        <v>1810</v>
      </c>
      <c r="C70" s="825">
        <f ca="1">ROUND(C67*10000/F70,0)</f>
        <v>-1464</v>
      </c>
      <c r="D70" s="826" t="s">
        <v>1811</v>
      </c>
      <c r="E70" s="827" t="s">
        <v>1812</v>
      </c>
      <c r="F70" s="828">
        <f ca="1">F43</f>
        <v>3518</v>
      </c>
      <c r="O70" s="2402" t="s">
        <v>2399</v>
      </c>
      <c r="P70" s="2408" t="s">
        <v>2400</v>
      </c>
      <c r="Q70" s="2401">
        <f ca="1">C39</f>
        <v>495</v>
      </c>
      <c r="R70" s="2400" t="s">
        <v>2380</v>
      </c>
    </row>
    <row r="71" spans="1:18" ht="15.75" thickBot="1">
      <c r="O71" s="2402" t="s">
        <v>2401</v>
      </c>
      <c r="P71" s="2408" t="s">
        <v>2402</v>
      </c>
      <c r="Q71" s="2401">
        <f ca="1">C13</f>
        <v>1903</v>
      </c>
      <c r="R71" s="2400" t="s">
        <v>2380</v>
      </c>
    </row>
    <row r="72" spans="1:18" ht="15.75" thickBot="1">
      <c r="O72" s="2402" t="s">
        <v>2403</v>
      </c>
      <c r="P72" s="2408" t="s">
        <v>2404</v>
      </c>
      <c r="Q72" s="2403">
        <f ca="1">J36</f>
        <v>0</v>
      </c>
      <c r="R72" s="2404"/>
    </row>
    <row r="73" spans="1:18" ht="15.75" thickBot="1">
      <c r="O73" s="2402" t="s">
        <v>2386</v>
      </c>
      <c r="P73" s="2400" t="s">
        <v>2393</v>
      </c>
      <c r="Q73" s="2403">
        <f>L52</f>
        <v>0</v>
      </c>
      <c r="R73" s="2404"/>
    </row>
    <row r="74" spans="1:18" ht="20.25" thickBot="1">
      <c r="O74" s="2402" t="s">
        <v>2388</v>
      </c>
      <c r="P74" s="2400" t="s">
        <v>2394</v>
      </c>
      <c r="Q74" s="2401" t="e">
        <f ca="1">L58</f>
        <v>#DIV/0!</v>
      </c>
      <c r="R74" s="2404" t="s">
        <v>2395</v>
      </c>
    </row>
    <row r="75" spans="1:18" ht="15.75" thickBot="1">
      <c r="O75" s="2402" t="s">
        <v>2417</v>
      </c>
      <c r="P75" s="2400" t="str">
        <f>K59</f>
        <v>建设期及建筑物耐用年限下的土地年期修正系数Kn</v>
      </c>
      <c r="Q75" s="2401" t="e">
        <f ca="1">L59</f>
        <v>#DIV/0!</v>
      </c>
      <c r="R75" s="2404" t="s">
        <v>2397</v>
      </c>
    </row>
    <row r="76" spans="1:18" ht="15.75" thickBot="1">
      <c r="O76" s="2399" t="s">
        <v>2391</v>
      </c>
      <c r="P76" s="2400" t="s">
        <v>2408</v>
      </c>
      <c r="Q76" s="2401">
        <f ca="1">Q66+Q67</f>
        <v>11565</v>
      </c>
      <c r="R76" s="240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7" priority="6">
      <formula>$L$48&gt;$J$51</formula>
    </cfRule>
  </conditionalFormatting>
  <conditionalFormatting sqref="I55">
    <cfRule type="expression" dxfId="6" priority="7">
      <formula>$J$51&gt;$L$48</formula>
    </cfRule>
  </conditionalFormatting>
  <conditionalFormatting sqref="I60">
    <cfRule type="expression" dxfId="5" priority="5">
      <formula>$J$51&gt;$L$48</formula>
    </cfRule>
  </conditionalFormatting>
  <conditionalFormatting sqref="K60">
    <cfRule type="expression" dxfId="4" priority="4">
      <formula>$L$48&gt;$J$51</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3">
    <cfRule type="expression" dxfId="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6"/>
  <sheetViews>
    <sheetView topLeftCell="D1" workbookViewId="0">
      <selection activeCell="AD4" sqref="A4:XFD4"/>
    </sheetView>
  </sheetViews>
  <sheetFormatPr defaultRowHeight="13.5"/>
  <cols>
    <col min="30" max="30" width="26" customWidth="1"/>
  </cols>
  <sheetData>
    <row r="1" spans="1:44" s="2940" customFormat="1">
      <c r="A1" s="2940" t="s">
        <v>3022</v>
      </c>
      <c r="B1" s="2940" t="s">
        <v>3023</v>
      </c>
      <c r="C1" s="2940" t="s">
        <v>3024</v>
      </c>
      <c r="D1" s="2940" t="s">
        <v>3025</v>
      </c>
      <c r="E1" s="2940" t="s">
        <v>3026</v>
      </c>
      <c r="F1" s="2940" t="s">
        <v>3027</v>
      </c>
      <c r="G1" s="2940" t="s">
        <v>3028</v>
      </c>
      <c r="H1" s="2940" t="s">
        <v>3029</v>
      </c>
      <c r="I1" s="2940" t="s">
        <v>3030</v>
      </c>
      <c r="J1" s="2940" t="s">
        <v>3031</v>
      </c>
      <c r="K1" s="2940" t="s">
        <v>3032</v>
      </c>
      <c r="L1" s="2940" t="s">
        <v>2033</v>
      </c>
      <c r="M1" s="2940" t="s">
        <v>3033</v>
      </c>
      <c r="N1" s="2940" t="s">
        <v>3034</v>
      </c>
      <c r="O1" s="2940" t="s">
        <v>3035</v>
      </c>
      <c r="P1" s="2940" t="s">
        <v>3036</v>
      </c>
      <c r="Q1" s="2940" t="s">
        <v>3037</v>
      </c>
      <c r="R1" s="2940" t="s">
        <v>3038</v>
      </c>
      <c r="S1" s="2940" t="s">
        <v>3039</v>
      </c>
      <c r="T1" s="2940" t="s">
        <v>3040</v>
      </c>
      <c r="U1" s="2940" t="s">
        <v>3041</v>
      </c>
      <c r="V1" s="2940" t="s">
        <v>3042</v>
      </c>
      <c r="W1" s="2940" t="s">
        <v>3043</v>
      </c>
      <c r="X1" s="2940" t="s">
        <v>3044</v>
      </c>
      <c r="Y1" s="2940" t="s">
        <v>3045</v>
      </c>
      <c r="Z1" s="2940" t="s">
        <v>3046</v>
      </c>
      <c r="AA1" s="2940" t="s">
        <v>3047</v>
      </c>
      <c r="AB1" s="2940" t="s">
        <v>3048</v>
      </c>
      <c r="AC1" s="2940" t="s">
        <v>3049</v>
      </c>
      <c r="AD1" s="2940" t="s">
        <v>3050</v>
      </c>
      <c r="AE1" s="2940" t="s">
        <v>3051</v>
      </c>
      <c r="AF1" s="2940" t="s">
        <v>3052</v>
      </c>
      <c r="AG1" s="2940" t="s">
        <v>3053</v>
      </c>
      <c r="AH1" s="2940" t="s">
        <v>3054</v>
      </c>
      <c r="AI1" s="2940" t="s">
        <v>3055</v>
      </c>
      <c r="AJ1" s="2940" t="s">
        <v>3056</v>
      </c>
      <c r="AK1" s="2940" t="s">
        <v>3057</v>
      </c>
      <c r="AL1" s="2940" t="s">
        <v>3058</v>
      </c>
      <c r="AM1" s="2940" t="s">
        <v>3059</v>
      </c>
      <c r="AN1" s="2940" t="s">
        <v>3060</v>
      </c>
      <c r="AO1" s="2940" t="s">
        <v>3061</v>
      </c>
      <c r="AP1" s="2940" t="s">
        <v>3062</v>
      </c>
      <c r="AQ1" s="2940" t="s">
        <v>3063</v>
      </c>
      <c r="AR1" s="2940" t="s">
        <v>3064</v>
      </c>
    </row>
    <row r="2" spans="1:44" s="2940" customFormat="1">
      <c r="A2" s="2940" t="s">
        <v>3065</v>
      </c>
      <c r="B2" s="2940" t="s">
        <v>1947</v>
      </c>
      <c r="C2" s="2940" t="s">
        <v>3066</v>
      </c>
      <c r="D2" s="2940" t="s">
        <v>3067</v>
      </c>
      <c r="E2" s="2940" t="s">
        <v>2817</v>
      </c>
      <c r="F2" s="2940" t="s">
        <v>3068</v>
      </c>
      <c r="G2" s="2940" t="s">
        <v>3069</v>
      </c>
      <c r="H2" s="2940" t="s">
        <v>3070</v>
      </c>
      <c r="I2" s="2940" t="s">
        <v>3071</v>
      </c>
      <c r="J2" s="2940">
        <v>39410.74</v>
      </c>
      <c r="K2" s="2940">
        <v>120000</v>
      </c>
      <c r="L2" s="2940">
        <v>3</v>
      </c>
      <c r="M2" s="2940" t="s">
        <v>2817</v>
      </c>
      <c r="N2" s="2940" t="s">
        <v>3072</v>
      </c>
      <c r="O2" s="2940" t="s">
        <v>3073</v>
      </c>
      <c r="P2" s="2940" t="s">
        <v>2817</v>
      </c>
      <c r="Q2" s="2940" t="s">
        <v>2817</v>
      </c>
      <c r="R2" s="2940" t="s">
        <v>2817</v>
      </c>
      <c r="S2" s="2940" t="s">
        <v>2817</v>
      </c>
      <c r="T2" s="2940" t="s">
        <v>3074</v>
      </c>
      <c r="U2" s="2940" t="s">
        <v>3074</v>
      </c>
      <c r="V2" s="2940" t="s">
        <v>2817</v>
      </c>
      <c r="W2" s="2940" t="s">
        <v>3075</v>
      </c>
      <c r="X2" s="2940" t="s">
        <v>3076</v>
      </c>
      <c r="Y2" s="2940" t="s">
        <v>3077</v>
      </c>
      <c r="Z2" s="2940" t="s">
        <v>3077</v>
      </c>
      <c r="AA2" s="2940" t="s">
        <v>3077</v>
      </c>
      <c r="AB2" s="2940" t="s">
        <v>3070</v>
      </c>
      <c r="AC2" s="2940" t="s">
        <v>3078</v>
      </c>
      <c r="AD2" s="2940" t="s">
        <v>3079</v>
      </c>
      <c r="AE2" s="2940">
        <v>85000</v>
      </c>
      <c r="AF2" s="2940" t="s">
        <v>2817</v>
      </c>
      <c r="AG2" s="2940">
        <v>318758</v>
      </c>
      <c r="AH2" s="2940" t="s">
        <v>2817</v>
      </c>
      <c r="AI2" s="2940">
        <v>5392.07</v>
      </c>
      <c r="AJ2" s="2940" t="s">
        <v>2817</v>
      </c>
      <c r="AK2" s="2940">
        <v>26563.16</v>
      </c>
      <c r="AL2" s="2940" t="s">
        <v>2817</v>
      </c>
      <c r="AM2" s="2940" t="s">
        <v>2817</v>
      </c>
      <c r="AN2" s="2940" t="s">
        <v>2817</v>
      </c>
      <c r="AO2" s="2940" t="s">
        <v>3080</v>
      </c>
      <c r="AP2" s="2940" t="s">
        <v>2817</v>
      </c>
      <c r="AQ2" s="2940" t="s">
        <v>2817</v>
      </c>
      <c r="AR2" s="2940" t="s">
        <v>2817</v>
      </c>
    </row>
    <row r="3" spans="1:44" s="2940" customFormat="1">
      <c r="A3" s="2940" t="s">
        <v>3091</v>
      </c>
      <c r="B3" s="2940" t="s">
        <v>1947</v>
      </c>
      <c r="C3" s="2940" t="s">
        <v>3066</v>
      </c>
      <c r="D3" s="2940" t="s">
        <v>3067</v>
      </c>
      <c r="E3" s="2940" t="s">
        <v>2817</v>
      </c>
      <c r="F3" s="2940" t="s">
        <v>3068</v>
      </c>
      <c r="G3" s="2940" t="s">
        <v>3082</v>
      </c>
      <c r="H3" s="2940" t="s">
        <v>3092</v>
      </c>
      <c r="I3" s="2940" t="s">
        <v>3071</v>
      </c>
      <c r="J3" s="2940">
        <v>27295.08</v>
      </c>
      <c r="K3" s="2940">
        <v>160000</v>
      </c>
      <c r="L3" s="2940">
        <v>5.8</v>
      </c>
      <c r="M3" s="2940" t="s">
        <v>2817</v>
      </c>
      <c r="N3" s="2940" t="s">
        <v>2817</v>
      </c>
      <c r="O3" s="2940" t="s">
        <v>2817</v>
      </c>
      <c r="P3" s="2940" t="s">
        <v>2817</v>
      </c>
      <c r="Q3" s="2940" t="s">
        <v>2817</v>
      </c>
      <c r="R3" s="2940" t="s">
        <v>2817</v>
      </c>
      <c r="S3" s="2940" t="s">
        <v>2817</v>
      </c>
      <c r="T3" s="2940" t="s">
        <v>3074</v>
      </c>
      <c r="U3" s="2940" t="s">
        <v>3074</v>
      </c>
      <c r="V3" s="2940" t="s">
        <v>2817</v>
      </c>
      <c r="W3" s="2940" t="s">
        <v>3086</v>
      </c>
      <c r="X3" s="2940" t="s">
        <v>3093</v>
      </c>
      <c r="Y3" s="2940" t="s">
        <v>3094</v>
      </c>
      <c r="Z3" s="2940" t="s">
        <v>3095</v>
      </c>
      <c r="AA3" s="2940" t="s">
        <v>3095</v>
      </c>
      <c r="AB3" s="2940" t="s">
        <v>3092</v>
      </c>
      <c r="AC3" s="2940" t="s">
        <v>3078</v>
      </c>
      <c r="AD3" s="2940" t="s">
        <v>3096</v>
      </c>
      <c r="AE3" s="2940">
        <v>130000</v>
      </c>
      <c r="AF3" s="2940">
        <v>432000</v>
      </c>
      <c r="AG3" s="2940">
        <v>434000</v>
      </c>
      <c r="AH3" s="2940">
        <v>10551.35</v>
      </c>
      <c r="AI3" s="2940">
        <v>10600.2</v>
      </c>
      <c r="AJ3" s="2940">
        <v>27000</v>
      </c>
      <c r="AK3" s="2940">
        <v>27125</v>
      </c>
      <c r="AL3" s="2940" t="s">
        <v>2817</v>
      </c>
      <c r="AM3" s="2940" t="s">
        <v>2817</v>
      </c>
      <c r="AN3" s="2940">
        <v>0.46</v>
      </c>
      <c r="AO3" s="2940" t="s">
        <v>3097</v>
      </c>
      <c r="AP3" s="2940" t="s">
        <v>2817</v>
      </c>
      <c r="AQ3" s="2940" t="s">
        <v>2817</v>
      </c>
      <c r="AR3" s="2940" t="s">
        <v>2817</v>
      </c>
    </row>
    <row r="4" spans="1:44" s="2940" customFormat="1">
      <c r="A4" s="2940" t="s">
        <v>3106</v>
      </c>
      <c r="B4" s="2940" t="s">
        <v>1947</v>
      </c>
      <c r="C4" s="2940" t="s">
        <v>3066</v>
      </c>
      <c r="D4" s="2940" t="s">
        <v>3067</v>
      </c>
      <c r="E4" s="2940" t="s">
        <v>2817</v>
      </c>
      <c r="F4" s="2940" t="s">
        <v>3099</v>
      </c>
      <c r="G4" s="2940" t="s">
        <v>3082</v>
      </c>
      <c r="H4" s="2940" t="s">
        <v>3107</v>
      </c>
      <c r="I4" s="2940" t="s">
        <v>3084</v>
      </c>
      <c r="J4" s="2940">
        <v>29500</v>
      </c>
      <c r="K4" s="2940">
        <v>118000</v>
      </c>
      <c r="L4" s="2940">
        <v>4</v>
      </c>
      <c r="M4" s="2940" t="s">
        <v>2817</v>
      </c>
      <c r="N4" s="2940" t="s">
        <v>2817</v>
      </c>
      <c r="O4" s="2940" t="s">
        <v>2817</v>
      </c>
      <c r="P4" s="2940" t="s">
        <v>2817</v>
      </c>
      <c r="Q4" s="2940" t="s">
        <v>2817</v>
      </c>
      <c r="R4" s="2940" t="s">
        <v>2817</v>
      </c>
      <c r="S4" s="2940" t="s">
        <v>2817</v>
      </c>
      <c r="T4" s="2940" t="s">
        <v>2817</v>
      </c>
      <c r="U4" s="2940" t="s">
        <v>2817</v>
      </c>
      <c r="V4" s="2940" t="s">
        <v>2817</v>
      </c>
      <c r="W4" s="2940" t="s">
        <v>3101</v>
      </c>
      <c r="X4" s="2940" t="s">
        <v>3102</v>
      </c>
      <c r="Y4" s="2940" t="s">
        <v>3103</v>
      </c>
      <c r="Z4" s="2940" t="s">
        <v>3104</v>
      </c>
      <c r="AA4" s="2940" t="s">
        <v>3104</v>
      </c>
      <c r="AB4" s="2940" t="s">
        <v>3107</v>
      </c>
      <c r="AC4" s="2940" t="s">
        <v>3078</v>
      </c>
      <c r="AD4" s="2940" t="s">
        <v>3105</v>
      </c>
      <c r="AE4" s="2940">
        <v>42000</v>
      </c>
      <c r="AF4" s="2940">
        <v>142000</v>
      </c>
      <c r="AG4" s="2940">
        <v>342000</v>
      </c>
      <c r="AH4" s="2940">
        <v>3209.04</v>
      </c>
      <c r="AI4" s="2940">
        <v>7728.81</v>
      </c>
      <c r="AJ4" s="2940">
        <v>12033.89</v>
      </c>
      <c r="AK4" s="2940">
        <v>28983.040000000001</v>
      </c>
      <c r="AL4" s="2940" t="s">
        <v>2817</v>
      </c>
      <c r="AM4" s="2940" t="s">
        <v>2817</v>
      </c>
      <c r="AN4" s="2940">
        <v>140.85</v>
      </c>
      <c r="AO4" s="2940" t="s">
        <v>3080</v>
      </c>
      <c r="AP4" s="2940" t="s">
        <v>2817</v>
      </c>
      <c r="AQ4" s="2940" t="s">
        <v>2817</v>
      </c>
      <c r="AR4" s="2940" t="s">
        <v>2817</v>
      </c>
    </row>
    <row r="6" spans="1:44" s="2940" customFormat="1">
      <c r="A6" s="2940" t="s">
        <v>3022</v>
      </c>
      <c r="B6" s="2940" t="s">
        <v>3023</v>
      </c>
      <c r="C6" s="2940" t="s">
        <v>3024</v>
      </c>
      <c r="D6" s="2940" t="s">
        <v>3025</v>
      </c>
      <c r="E6" s="2940" t="s">
        <v>3026</v>
      </c>
      <c r="F6" s="2940" t="s">
        <v>3027</v>
      </c>
      <c r="G6" s="2940" t="s">
        <v>3028</v>
      </c>
      <c r="H6" s="2940" t="s">
        <v>3029</v>
      </c>
      <c r="I6" s="2940" t="s">
        <v>3030</v>
      </c>
      <c r="J6" s="2940" t="s">
        <v>3031</v>
      </c>
      <c r="K6" s="2940" t="s">
        <v>3032</v>
      </c>
      <c r="L6" s="2940" t="s">
        <v>2033</v>
      </c>
      <c r="M6" s="2940" t="s">
        <v>3033</v>
      </c>
      <c r="N6" s="2940" t="s">
        <v>3034</v>
      </c>
      <c r="O6" s="2940" t="s">
        <v>3035</v>
      </c>
      <c r="P6" s="2940" t="s">
        <v>3036</v>
      </c>
      <c r="Q6" s="2940" t="s">
        <v>3037</v>
      </c>
      <c r="R6" s="2940" t="s">
        <v>3038</v>
      </c>
      <c r="S6" s="2940" t="s">
        <v>3039</v>
      </c>
      <c r="T6" s="2940" t="s">
        <v>3040</v>
      </c>
      <c r="U6" s="2940" t="s">
        <v>3041</v>
      </c>
      <c r="V6" s="2940" t="s">
        <v>3042</v>
      </c>
      <c r="W6" s="2940" t="s">
        <v>3043</v>
      </c>
      <c r="X6" s="2940" t="s">
        <v>3044</v>
      </c>
      <c r="Y6" s="2940" t="s">
        <v>3045</v>
      </c>
      <c r="Z6" s="2940" t="s">
        <v>3046</v>
      </c>
      <c r="AA6" s="2940" t="s">
        <v>3047</v>
      </c>
      <c r="AB6" s="2940" t="s">
        <v>3048</v>
      </c>
      <c r="AC6" s="2940" t="s">
        <v>3049</v>
      </c>
      <c r="AD6" s="2940" t="s">
        <v>3050</v>
      </c>
      <c r="AE6" s="2940" t="s">
        <v>3051</v>
      </c>
      <c r="AF6" s="2940" t="s">
        <v>3052</v>
      </c>
      <c r="AG6" s="2940" t="s">
        <v>3053</v>
      </c>
      <c r="AH6" s="2940" t="s">
        <v>3054</v>
      </c>
      <c r="AI6" s="2940" t="s">
        <v>3055</v>
      </c>
      <c r="AJ6" s="2940" t="s">
        <v>3056</v>
      </c>
      <c r="AK6" s="2940" t="s">
        <v>3057</v>
      </c>
      <c r="AL6" s="2940" t="s">
        <v>3058</v>
      </c>
      <c r="AM6" s="2940" t="s">
        <v>3059</v>
      </c>
      <c r="AN6" s="2940" t="s">
        <v>3060</v>
      </c>
      <c r="AO6" s="2940" t="s">
        <v>3061</v>
      </c>
      <c r="AP6" s="2940" t="s">
        <v>3062</v>
      </c>
      <c r="AQ6" s="2940" t="s">
        <v>3063</v>
      </c>
      <c r="AR6" s="2940" t="s">
        <v>3064</v>
      </c>
    </row>
    <row r="7" spans="1:44" s="2940" customFormat="1">
      <c r="A7" s="2940" t="s">
        <v>3065</v>
      </c>
      <c r="B7" s="2940" t="s">
        <v>1947</v>
      </c>
      <c r="C7" s="2940" t="s">
        <v>3066</v>
      </c>
      <c r="D7" s="2940" t="s">
        <v>3067</v>
      </c>
      <c r="E7" s="2940" t="s">
        <v>2817</v>
      </c>
      <c r="F7" s="2940" t="s">
        <v>3068</v>
      </c>
      <c r="G7" s="2940" t="s">
        <v>3069</v>
      </c>
      <c r="H7" s="2940" t="s">
        <v>3070</v>
      </c>
      <c r="I7" s="2940" t="s">
        <v>3071</v>
      </c>
      <c r="J7" s="2940">
        <v>39410.74</v>
      </c>
      <c r="K7" s="2940">
        <v>120000</v>
      </c>
      <c r="L7" s="2940">
        <v>3.0448550538618369</v>
      </c>
      <c r="M7" s="2940" t="s">
        <v>2817</v>
      </c>
      <c r="N7" s="2940" t="s">
        <v>3072</v>
      </c>
      <c r="O7" s="2940" t="s">
        <v>3073</v>
      </c>
      <c r="P7" s="2940" t="s">
        <v>2817</v>
      </c>
      <c r="Q7" s="2940" t="s">
        <v>2817</v>
      </c>
      <c r="R7" s="2940" t="s">
        <v>2817</v>
      </c>
      <c r="S7" s="2940" t="s">
        <v>2817</v>
      </c>
      <c r="T7" s="2940" t="s">
        <v>3074</v>
      </c>
      <c r="U7" s="2940" t="s">
        <v>3074</v>
      </c>
      <c r="V7" s="2940" t="s">
        <v>2817</v>
      </c>
      <c r="W7" s="2940" t="s">
        <v>3075</v>
      </c>
      <c r="X7" s="2940" t="s">
        <v>3076</v>
      </c>
      <c r="Y7" s="2940" t="s">
        <v>3077</v>
      </c>
      <c r="Z7" s="2940" t="s">
        <v>3077</v>
      </c>
      <c r="AA7" s="2940" t="s">
        <v>3077</v>
      </c>
      <c r="AB7" s="2940" t="s">
        <v>3070</v>
      </c>
      <c r="AC7" s="2940" t="s">
        <v>3078</v>
      </c>
      <c r="AD7" s="2940" t="s">
        <v>3079</v>
      </c>
      <c r="AE7" s="2940">
        <v>85000</v>
      </c>
      <c r="AF7" s="2940" t="s">
        <v>2817</v>
      </c>
      <c r="AG7" s="2940">
        <v>318758</v>
      </c>
      <c r="AH7" s="2940" t="s">
        <v>2817</v>
      </c>
      <c r="AI7" s="2940">
        <v>5392.07</v>
      </c>
      <c r="AJ7" s="2940" t="s">
        <v>2817</v>
      </c>
      <c r="AK7" s="3194">
        <v>26563.16</v>
      </c>
      <c r="AL7" s="2940" t="s">
        <v>2817</v>
      </c>
      <c r="AM7" s="2940" t="s">
        <v>2817</v>
      </c>
      <c r="AN7" s="2940" t="s">
        <v>2817</v>
      </c>
      <c r="AO7" s="2940" t="s">
        <v>3080</v>
      </c>
      <c r="AP7" s="2940" t="s">
        <v>2817</v>
      </c>
      <c r="AQ7" s="2940" t="s">
        <v>2817</v>
      </c>
      <c r="AR7" s="2940" t="s">
        <v>2817</v>
      </c>
    </row>
    <row r="8" spans="1:44" s="2940" customFormat="1">
      <c r="A8" s="2940" t="s">
        <v>3081</v>
      </c>
      <c r="B8" s="2940" t="s">
        <v>1947</v>
      </c>
      <c r="C8" s="2940" t="s">
        <v>3066</v>
      </c>
      <c r="D8" s="2940" t="s">
        <v>3067</v>
      </c>
      <c r="E8" s="2940" t="s">
        <v>2817</v>
      </c>
      <c r="F8" s="2940" t="s">
        <v>3068</v>
      </c>
      <c r="G8" s="2940" t="s">
        <v>3082</v>
      </c>
      <c r="H8" s="2940" t="s">
        <v>3083</v>
      </c>
      <c r="I8" s="2940" t="s">
        <v>3084</v>
      </c>
      <c r="J8" s="2940">
        <v>14089.17</v>
      </c>
      <c r="K8" s="2940">
        <v>105000</v>
      </c>
      <c r="L8" s="2940">
        <v>7.4525300000000003</v>
      </c>
      <c r="M8" s="2940" t="s">
        <v>2817</v>
      </c>
      <c r="N8" s="2940" t="s">
        <v>3072</v>
      </c>
      <c r="O8" s="2940" t="s">
        <v>3085</v>
      </c>
      <c r="P8" s="2940" t="s">
        <v>2817</v>
      </c>
      <c r="Q8" s="2940" t="s">
        <v>2817</v>
      </c>
      <c r="R8" s="2940" t="s">
        <v>2817</v>
      </c>
      <c r="S8" s="2940" t="s">
        <v>2817</v>
      </c>
      <c r="T8" s="2940" t="s">
        <v>3074</v>
      </c>
      <c r="U8" s="2940" t="s">
        <v>3074</v>
      </c>
      <c r="V8" s="2940" t="s">
        <v>2817</v>
      </c>
      <c r="W8" s="2940" t="s">
        <v>3086</v>
      </c>
      <c r="X8" s="2940" t="s">
        <v>3087</v>
      </c>
      <c r="Y8" s="2940" t="s">
        <v>3088</v>
      </c>
      <c r="Z8" s="2940" t="s">
        <v>3089</v>
      </c>
      <c r="AA8" s="2940" t="s">
        <v>3089</v>
      </c>
      <c r="AB8" s="2940" t="s">
        <v>3083</v>
      </c>
      <c r="AC8" s="2940" t="s">
        <v>3078</v>
      </c>
      <c r="AD8" s="2940" t="s">
        <v>3090</v>
      </c>
      <c r="AE8" s="2940">
        <v>76000</v>
      </c>
      <c r="AF8" s="2940">
        <v>252000</v>
      </c>
      <c r="AG8" s="2940">
        <v>355000</v>
      </c>
      <c r="AH8" s="2940">
        <v>11924.05</v>
      </c>
      <c r="AI8" s="2940">
        <v>16797.77</v>
      </c>
      <c r="AJ8" s="2940">
        <v>24000</v>
      </c>
      <c r="AK8" s="2940">
        <v>33809.51</v>
      </c>
      <c r="AL8" s="2940" t="s">
        <v>2817</v>
      </c>
      <c r="AM8" s="2940" t="s">
        <v>2817</v>
      </c>
      <c r="AN8" s="2940">
        <v>40.869999999999997</v>
      </c>
      <c r="AO8" s="2940" t="s">
        <v>3080</v>
      </c>
      <c r="AP8" s="2940" t="s">
        <v>2817</v>
      </c>
      <c r="AQ8" s="2940" t="s">
        <v>2817</v>
      </c>
      <c r="AR8" s="2940" t="s">
        <v>2817</v>
      </c>
    </row>
    <row r="9" spans="1:44" s="2940" customFormat="1">
      <c r="A9" s="2940" t="s">
        <v>3091</v>
      </c>
      <c r="B9" s="2940" t="s">
        <v>1947</v>
      </c>
      <c r="C9" s="2940" t="s">
        <v>3066</v>
      </c>
      <c r="D9" s="2940" t="s">
        <v>3067</v>
      </c>
      <c r="E9" s="2940" t="s">
        <v>2817</v>
      </c>
      <c r="F9" s="2940" t="s">
        <v>3068</v>
      </c>
      <c r="G9" s="2940" t="s">
        <v>3082</v>
      </c>
      <c r="H9" s="2940" t="s">
        <v>3092</v>
      </c>
      <c r="I9" s="2940" t="s">
        <v>3071</v>
      </c>
      <c r="J9" s="2940">
        <v>27295.08</v>
      </c>
      <c r="K9" s="2940">
        <v>160000</v>
      </c>
      <c r="L9" s="2940">
        <v>5.8</v>
      </c>
      <c r="M9" s="2940" t="s">
        <v>2817</v>
      </c>
      <c r="N9" s="2940" t="s">
        <v>2817</v>
      </c>
      <c r="O9" s="2940" t="s">
        <v>2817</v>
      </c>
      <c r="P9" s="2940" t="s">
        <v>2817</v>
      </c>
      <c r="Q9" s="2940" t="s">
        <v>2817</v>
      </c>
      <c r="R9" s="2940" t="s">
        <v>2817</v>
      </c>
      <c r="S9" s="2940" t="s">
        <v>2817</v>
      </c>
      <c r="T9" s="2940" t="s">
        <v>3074</v>
      </c>
      <c r="U9" s="2940" t="s">
        <v>3074</v>
      </c>
      <c r="V9" s="2940" t="s">
        <v>2817</v>
      </c>
      <c r="W9" s="2940" t="s">
        <v>3086</v>
      </c>
      <c r="X9" s="2940" t="s">
        <v>3093</v>
      </c>
      <c r="Y9" s="2940" t="s">
        <v>3094</v>
      </c>
      <c r="Z9" s="2940" t="s">
        <v>3095</v>
      </c>
      <c r="AA9" s="2940" t="s">
        <v>3095</v>
      </c>
      <c r="AB9" s="2940" t="s">
        <v>3092</v>
      </c>
      <c r="AC9" s="2940" t="s">
        <v>3078</v>
      </c>
      <c r="AD9" s="2940" t="s">
        <v>3096</v>
      </c>
      <c r="AE9" s="2940">
        <v>130000</v>
      </c>
      <c r="AF9" s="2940">
        <v>432000</v>
      </c>
      <c r="AG9" s="2940">
        <v>434000</v>
      </c>
      <c r="AH9" s="2940">
        <v>10551.35</v>
      </c>
      <c r="AI9" s="2940">
        <v>10600.2</v>
      </c>
      <c r="AJ9" s="2940">
        <v>27000</v>
      </c>
      <c r="AK9" s="3194">
        <v>27125</v>
      </c>
      <c r="AL9" s="2940" t="s">
        <v>2817</v>
      </c>
      <c r="AM9" s="2940" t="s">
        <v>2817</v>
      </c>
      <c r="AN9" s="2940">
        <v>0.46</v>
      </c>
      <c r="AO9" s="2940" t="s">
        <v>3097</v>
      </c>
      <c r="AP9" s="2940" t="s">
        <v>2817</v>
      </c>
      <c r="AQ9" s="2940" t="s">
        <v>2817</v>
      </c>
      <c r="AR9" s="2940" t="s">
        <v>2817</v>
      </c>
    </row>
    <row r="10" spans="1:44" s="2940" customFormat="1">
      <c r="A10" s="2940" t="s">
        <v>3098</v>
      </c>
      <c r="B10" s="2940" t="s">
        <v>1947</v>
      </c>
      <c r="C10" s="2940" t="s">
        <v>3066</v>
      </c>
      <c r="D10" s="2940" t="s">
        <v>3067</v>
      </c>
      <c r="E10" s="2940" t="s">
        <v>2817</v>
      </c>
      <c r="F10" s="2940" t="s">
        <v>3099</v>
      </c>
      <c r="G10" s="2940" t="s">
        <v>3082</v>
      </c>
      <c r="H10" s="2940" t="s">
        <v>3100</v>
      </c>
      <c r="I10" s="2940" t="s">
        <v>3084</v>
      </c>
      <c r="J10" s="2940">
        <v>14788.3</v>
      </c>
      <c r="K10" s="2940">
        <v>59153</v>
      </c>
      <c r="L10" s="2940">
        <v>4</v>
      </c>
      <c r="M10" s="2940" t="s">
        <v>2817</v>
      </c>
      <c r="N10" s="2940" t="s">
        <v>2817</v>
      </c>
      <c r="O10" s="2940" t="s">
        <v>2817</v>
      </c>
      <c r="P10" s="2940" t="s">
        <v>2817</v>
      </c>
      <c r="Q10" s="2940" t="s">
        <v>2817</v>
      </c>
      <c r="R10" s="2940" t="s">
        <v>2817</v>
      </c>
      <c r="S10" s="2940" t="s">
        <v>2817</v>
      </c>
      <c r="T10" s="2940" t="s">
        <v>2817</v>
      </c>
      <c r="U10" s="2940" t="s">
        <v>2817</v>
      </c>
      <c r="V10" s="2940" t="s">
        <v>2817</v>
      </c>
      <c r="W10" s="2940" t="s">
        <v>3101</v>
      </c>
      <c r="X10" s="2940" t="s">
        <v>3102</v>
      </c>
      <c r="Y10" s="2940" t="s">
        <v>3103</v>
      </c>
      <c r="Z10" s="2940" t="s">
        <v>3104</v>
      </c>
      <c r="AA10" s="2940" t="s">
        <v>3104</v>
      </c>
      <c r="AB10" s="2940" t="s">
        <v>3100</v>
      </c>
      <c r="AC10" s="2940" t="s">
        <v>3078</v>
      </c>
      <c r="AD10" s="2940" t="s">
        <v>3105</v>
      </c>
      <c r="AE10" s="2940">
        <v>21000</v>
      </c>
      <c r="AF10" s="2940">
        <v>71500</v>
      </c>
      <c r="AG10" s="2940">
        <v>176000</v>
      </c>
      <c r="AH10" s="2940">
        <v>3223.27</v>
      </c>
      <c r="AI10" s="2940">
        <v>7934.2</v>
      </c>
      <c r="AJ10" s="2940">
        <v>12087.29</v>
      </c>
      <c r="AK10" s="3194">
        <v>29753.34</v>
      </c>
      <c r="AL10" s="2940" t="s">
        <v>2817</v>
      </c>
      <c r="AM10" s="2940" t="s">
        <v>2817</v>
      </c>
      <c r="AN10" s="2940">
        <v>146.15</v>
      </c>
      <c r="AO10" s="2940" t="s">
        <v>3080</v>
      </c>
      <c r="AP10" s="2940" t="s">
        <v>2817</v>
      </c>
      <c r="AQ10" s="2940" t="s">
        <v>2817</v>
      </c>
      <c r="AR10" s="2940" t="s">
        <v>2817</v>
      </c>
    </row>
    <row r="11" spans="1:44" s="2940" customFormat="1">
      <c r="A11" s="2940" t="s">
        <v>3106</v>
      </c>
      <c r="B11" s="2940" t="s">
        <v>1947</v>
      </c>
      <c r="C11" s="2940" t="s">
        <v>3066</v>
      </c>
      <c r="D11" s="2940" t="s">
        <v>3067</v>
      </c>
      <c r="E11" s="2940" t="s">
        <v>2817</v>
      </c>
      <c r="F11" s="2940" t="s">
        <v>3099</v>
      </c>
      <c r="G11" s="2940" t="s">
        <v>3082</v>
      </c>
      <c r="H11" s="2940" t="s">
        <v>3107</v>
      </c>
      <c r="I11" s="2940" t="s">
        <v>3084</v>
      </c>
      <c r="J11" s="2940">
        <v>29500</v>
      </c>
      <c r="K11" s="2940">
        <v>118000</v>
      </c>
      <c r="L11" s="2940">
        <v>4</v>
      </c>
      <c r="M11" s="2940" t="s">
        <v>2817</v>
      </c>
      <c r="N11" s="2940" t="s">
        <v>2817</v>
      </c>
      <c r="O11" s="2940" t="s">
        <v>2817</v>
      </c>
      <c r="P11" s="2940" t="s">
        <v>2817</v>
      </c>
      <c r="Q11" s="2940" t="s">
        <v>2817</v>
      </c>
      <c r="R11" s="2940" t="s">
        <v>2817</v>
      </c>
      <c r="S11" s="2940" t="s">
        <v>2817</v>
      </c>
      <c r="T11" s="2940" t="s">
        <v>2817</v>
      </c>
      <c r="U11" s="2940" t="s">
        <v>2817</v>
      </c>
      <c r="V11" s="2940" t="s">
        <v>2817</v>
      </c>
      <c r="W11" s="2940" t="s">
        <v>3101</v>
      </c>
      <c r="X11" s="2940" t="s">
        <v>3102</v>
      </c>
      <c r="Y11" s="2940" t="s">
        <v>3103</v>
      </c>
      <c r="Z11" s="2940" t="s">
        <v>3104</v>
      </c>
      <c r="AA11" s="2940" t="s">
        <v>3104</v>
      </c>
      <c r="AB11" s="2940" t="s">
        <v>3107</v>
      </c>
      <c r="AC11" s="2940" t="s">
        <v>3078</v>
      </c>
      <c r="AD11" s="2940" t="s">
        <v>3105</v>
      </c>
      <c r="AE11" s="2940">
        <v>42000</v>
      </c>
      <c r="AF11" s="2940">
        <v>142000</v>
      </c>
      <c r="AG11" s="2940">
        <v>342000</v>
      </c>
      <c r="AH11" s="2940">
        <v>3209.04</v>
      </c>
      <c r="AI11" s="2940">
        <v>7728.81</v>
      </c>
      <c r="AJ11" s="2940">
        <v>12033.89</v>
      </c>
      <c r="AK11" s="2940">
        <v>28983.040000000001</v>
      </c>
      <c r="AL11" s="2940" t="s">
        <v>2817</v>
      </c>
      <c r="AM11" s="2940" t="s">
        <v>2817</v>
      </c>
      <c r="AN11" s="2940">
        <v>140.85</v>
      </c>
      <c r="AO11" s="2940" t="s">
        <v>3080</v>
      </c>
      <c r="AP11" s="2940" t="s">
        <v>2817</v>
      </c>
      <c r="AQ11" s="2940" t="s">
        <v>2817</v>
      </c>
      <c r="AR11" s="2940" t="s">
        <v>2817</v>
      </c>
    </row>
    <row r="12" spans="1:44" s="2940" customFormat="1">
      <c r="A12" s="2940" t="s">
        <v>3108</v>
      </c>
      <c r="B12" s="2940" t="s">
        <v>1947</v>
      </c>
      <c r="C12" s="2940" t="s">
        <v>3066</v>
      </c>
      <c r="D12" s="2940" t="s">
        <v>3067</v>
      </c>
      <c r="E12" s="2940" t="s">
        <v>2817</v>
      </c>
      <c r="F12" s="2940" t="s">
        <v>3099</v>
      </c>
      <c r="G12" s="2940" t="s">
        <v>3082</v>
      </c>
      <c r="H12" s="2940" t="s">
        <v>3109</v>
      </c>
      <c r="I12" s="2940" t="s">
        <v>3084</v>
      </c>
      <c r="J12" s="2940">
        <v>15089.35</v>
      </c>
      <c r="K12" s="2940">
        <v>60357</v>
      </c>
      <c r="L12" s="2940">
        <v>4</v>
      </c>
      <c r="M12" s="2940" t="s">
        <v>2817</v>
      </c>
      <c r="N12" s="2940" t="s">
        <v>2817</v>
      </c>
      <c r="O12" s="2940" t="s">
        <v>2817</v>
      </c>
      <c r="P12" s="2940" t="s">
        <v>2817</v>
      </c>
      <c r="Q12" s="2940" t="s">
        <v>2817</v>
      </c>
      <c r="R12" s="2940" t="s">
        <v>2817</v>
      </c>
      <c r="S12" s="2940" t="s">
        <v>2817</v>
      </c>
      <c r="T12" s="2940" t="s">
        <v>2817</v>
      </c>
      <c r="U12" s="2940" t="s">
        <v>2817</v>
      </c>
      <c r="V12" s="2940" t="s">
        <v>2817</v>
      </c>
      <c r="W12" s="2940" t="s">
        <v>3101</v>
      </c>
      <c r="X12" s="2940" t="s">
        <v>3110</v>
      </c>
      <c r="Y12" s="2940" t="s">
        <v>3111</v>
      </c>
      <c r="Z12" s="2940" t="s">
        <v>3112</v>
      </c>
      <c r="AA12" s="2940" t="s">
        <v>3112</v>
      </c>
      <c r="AB12" s="2940" t="s">
        <v>3109</v>
      </c>
      <c r="AC12" s="2940" t="s">
        <v>3078</v>
      </c>
      <c r="AD12" s="2940" t="s">
        <v>3113</v>
      </c>
      <c r="AE12" s="2940">
        <v>21300</v>
      </c>
      <c r="AF12" s="2940">
        <v>71000</v>
      </c>
      <c r="AG12" s="2940">
        <v>110000</v>
      </c>
      <c r="AH12" s="2940">
        <v>3136.87</v>
      </c>
      <c r="AI12" s="2940">
        <v>4859.9399999999996</v>
      </c>
      <c r="AJ12" s="2940">
        <v>11763.34</v>
      </c>
      <c r="AK12" s="2940">
        <v>18224.900000000001</v>
      </c>
      <c r="AL12" s="2940" t="s">
        <v>2817</v>
      </c>
      <c r="AM12" s="2940" t="s">
        <v>2817</v>
      </c>
      <c r="AN12" s="2940">
        <v>54.93</v>
      </c>
      <c r="AO12" s="2940" t="s">
        <v>3080</v>
      </c>
      <c r="AP12" s="2940" t="s">
        <v>2817</v>
      </c>
      <c r="AQ12" s="2940" t="s">
        <v>2817</v>
      </c>
      <c r="AR12" s="2940" t="s">
        <v>2817</v>
      </c>
    </row>
    <row r="13" spans="1:44" s="2940" customFormat="1">
      <c r="A13" s="2940" t="s">
        <v>3114</v>
      </c>
      <c r="B13" s="2940" t="s">
        <v>1947</v>
      </c>
      <c r="C13" s="2940" t="s">
        <v>3066</v>
      </c>
      <c r="D13" s="2940" t="s">
        <v>3067</v>
      </c>
      <c r="E13" s="2940" t="s">
        <v>2817</v>
      </c>
      <c r="F13" s="2940" t="s">
        <v>3099</v>
      </c>
      <c r="G13" s="2940" t="s">
        <v>3082</v>
      </c>
      <c r="H13" s="2940" t="s">
        <v>3115</v>
      </c>
      <c r="I13" s="2940" t="s">
        <v>3084</v>
      </c>
      <c r="J13" s="2940">
        <v>27500</v>
      </c>
      <c r="K13" s="2940">
        <v>110000</v>
      </c>
      <c r="L13" s="2940">
        <v>4</v>
      </c>
      <c r="M13" s="2940" t="s">
        <v>2817</v>
      </c>
      <c r="N13" s="2940" t="s">
        <v>2817</v>
      </c>
      <c r="O13" s="2940" t="s">
        <v>2817</v>
      </c>
      <c r="P13" s="2940" t="s">
        <v>2817</v>
      </c>
      <c r="Q13" s="2940" t="s">
        <v>2817</v>
      </c>
      <c r="R13" s="2940" t="s">
        <v>2817</v>
      </c>
      <c r="S13" s="2940" t="s">
        <v>2817</v>
      </c>
      <c r="T13" s="2940" t="s">
        <v>2817</v>
      </c>
      <c r="U13" s="2940" t="s">
        <v>2817</v>
      </c>
      <c r="V13" s="2940" t="s">
        <v>2817</v>
      </c>
      <c r="W13" s="2940" t="s">
        <v>3101</v>
      </c>
      <c r="X13" s="2940" t="s">
        <v>3116</v>
      </c>
      <c r="Y13" s="2940" t="s">
        <v>3117</v>
      </c>
      <c r="Z13" s="2940" t="s">
        <v>3118</v>
      </c>
      <c r="AA13" s="2940" t="s">
        <v>3118</v>
      </c>
      <c r="AB13" s="2940" t="s">
        <v>3115</v>
      </c>
      <c r="AC13" s="2940" t="s">
        <v>3078</v>
      </c>
      <c r="AD13" s="2940" t="s">
        <v>3119</v>
      </c>
      <c r="AE13" s="2940">
        <v>3900</v>
      </c>
      <c r="AF13" s="2940">
        <v>129000</v>
      </c>
      <c r="AG13" s="2940">
        <v>176000</v>
      </c>
      <c r="AH13" s="2940">
        <v>3127.27</v>
      </c>
      <c r="AI13" s="2940">
        <v>4266.67</v>
      </c>
      <c r="AJ13" s="2940">
        <v>11727.27</v>
      </c>
      <c r="AK13" s="2940">
        <v>16000</v>
      </c>
      <c r="AL13" s="2940" t="s">
        <v>2817</v>
      </c>
      <c r="AM13" s="2940" t="s">
        <v>2817</v>
      </c>
      <c r="AN13" s="2940">
        <v>36.43</v>
      </c>
      <c r="AO13" s="2940" t="s">
        <v>3120</v>
      </c>
      <c r="AP13" s="2940" t="s">
        <v>2817</v>
      </c>
      <c r="AQ13" s="2940" t="s">
        <v>2817</v>
      </c>
      <c r="AR13" s="2940" t="s">
        <v>2817</v>
      </c>
    </row>
    <row r="14" spans="1:44" s="2940" customFormat="1">
      <c r="A14" s="2940" t="s">
        <v>3121</v>
      </c>
      <c r="B14" s="2940" t="s">
        <v>1947</v>
      </c>
      <c r="C14" s="2940" t="s">
        <v>3066</v>
      </c>
      <c r="D14" s="2940" t="s">
        <v>3067</v>
      </c>
      <c r="E14" s="2940" t="s">
        <v>2817</v>
      </c>
      <c r="F14" s="2940" t="s">
        <v>3068</v>
      </c>
      <c r="G14" s="2940" t="s">
        <v>3082</v>
      </c>
      <c r="H14" s="2940" t="s">
        <v>3122</v>
      </c>
      <c r="I14" s="2940" t="s">
        <v>3123</v>
      </c>
      <c r="J14" s="2940">
        <v>35708.800000000003</v>
      </c>
      <c r="K14" s="2940">
        <v>336000</v>
      </c>
      <c r="L14" s="2940">
        <v>9.4</v>
      </c>
      <c r="M14" s="2940" t="s">
        <v>2817</v>
      </c>
      <c r="N14" s="2940" t="s">
        <v>2817</v>
      </c>
      <c r="O14" s="2940" t="s">
        <v>2817</v>
      </c>
      <c r="P14" s="2940" t="s">
        <v>2817</v>
      </c>
      <c r="Q14" s="2940" t="s">
        <v>2817</v>
      </c>
      <c r="R14" s="2940" t="s">
        <v>2817</v>
      </c>
      <c r="S14" s="2940" t="s">
        <v>2817</v>
      </c>
      <c r="T14" s="2940" t="s">
        <v>2817</v>
      </c>
      <c r="U14" s="2940" t="s">
        <v>2817</v>
      </c>
      <c r="V14" s="2940" t="s">
        <v>2817</v>
      </c>
      <c r="W14" s="2940" t="s">
        <v>3101</v>
      </c>
      <c r="X14" s="2940" t="s">
        <v>3124</v>
      </c>
      <c r="Y14" s="2940" t="s">
        <v>3125</v>
      </c>
      <c r="Z14" s="2940" t="s">
        <v>3126</v>
      </c>
      <c r="AA14" s="2940" t="s">
        <v>3126</v>
      </c>
      <c r="AB14" s="2940" t="s">
        <v>3122</v>
      </c>
      <c r="AC14" s="2940" t="s">
        <v>3078</v>
      </c>
      <c r="AD14" s="2940" t="s">
        <v>3127</v>
      </c>
      <c r="AE14" s="2940">
        <v>152000</v>
      </c>
      <c r="AF14" s="2940">
        <v>504000</v>
      </c>
      <c r="AG14" s="2940">
        <v>504000</v>
      </c>
      <c r="AH14" s="2940">
        <v>9409.4500000000007</v>
      </c>
      <c r="AI14" s="2940">
        <v>9409.4500000000007</v>
      </c>
      <c r="AJ14" s="2940">
        <v>15000</v>
      </c>
      <c r="AK14" s="2940">
        <v>15000</v>
      </c>
      <c r="AL14" s="2940" t="s">
        <v>2817</v>
      </c>
      <c r="AM14" s="2940" t="s">
        <v>2817</v>
      </c>
      <c r="AN14" s="2940">
        <v>0</v>
      </c>
      <c r="AO14" s="2940" t="s">
        <v>3120</v>
      </c>
      <c r="AP14" s="2940" t="s">
        <v>2817</v>
      </c>
      <c r="AQ14" s="2940" t="s">
        <v>2817</v>
      </c>
      <c r="AR14" s="2940" t="s">
        <v>2817</v>
      </c>
    </row>
    <row r="15" spans="1:44" s="2940" customFormat="1">
      <c r="A15" s="2940" t="s">
        <v>3128</v>
      </c>
      <c r="B15" s="2940" t="s">
        <v>1947</v>
      </c>
      <c r="C15" s="2940" t="s">
        <v>3066</v>
      </c>
      <c r="D15" s="2940" t="s">
        <v>3067</v>
      </c>
      <c r="E15" s="2940" t="s">
        <v>2817</v>
      </c>
      <c r="F15" s="2940" t="s">
        <v>3099</v>
      </c>
      <c r="G15" s="2940" t="s">
        <v>3069</v>
      </c>
      <c r="H15" s="2940" t="s">
        <v>3129</v>
      </c>
      <c r="I15" s="2940" t="s">
        <v>3123</v>
      </c>
      <c r="J15" s="2940">
        <v>35418.839999999997</v>
      </c>
      <c r="K15" s="2940">
        <v>141675</v>
      </c>
      <c r="L15" s="2940">
        <v>4</v>
      </c>
      <c r="M15" s="2940" t="s">
        <v>2817</v>
      </c>
      <c r="N15" s="2940" t="s">
        <v>2817</v>
      </c>
      <c r="O15" s="2940" t="s">
        <v>2817</v>
      </c>
      <c r="P15" s="2940" t="s">
        <v>2817</v>
      </c>
      <c r="Q15" s="2940" t="s">
        <v>2817</v>
      </c>
      <c r="R15" s="2940" t="s">
        <v>2817</v>
      </c>
      <c r="S15" s="2940" t="s">
        <v>2817</v>
      </c>
      <c r="T15" s="2940" t="s">
        <v>2817</v>
      </c>
      <c r="U15" s="2940" t="s">
        <v>2817</v>
      </c>
      <c r="V15" s="2940" t="s">
        <v>2817</v>
      </c>
      <c r="W15" s="2940" t="s">
        <v>3101</v>
      </c>
      <c r="X15" s="2940" t="s">
        <v>3130</v>
      </c>
      <c r="Y15" s="2940" t="s">
        <v>3131</v>
      </c>
      <c r="Z15" s="2940" t="s">
        <v>3131</v>
      </c>
      <c r="AA15" s="2940" t="s">
        <v>3131</v>
      </c>
      <c r="AB15" s="2940" t="s">
        <v>3129</v>
      </c>
      <c r="AC15" s="2940" t="s">
        <v>3078</v>
      </c>
      <c r="AD15" s="2940" t="s">
        <v>3132</v>
      </c>
      <c r="AE15" s="2940">
        <v>51000</v>
      </c>
      <c r="AF15" s="2940" t="s">
        <v>2817</v>
      </c>
      <c r="AG15" s="2940">
        <v>255015</v>
      </c>
      <c r="AH15" s="2940" t="s">
        <v>2817</v>
      </c>
      <c r="AI15" s="2940">
        <v>4799.99</v>
      </c>
      <c r="AJ15" s="2940" t="s">
        <v>2817</v>
      </c>
      <c r="AK15" s="2940">
        <v>18000</v>
      </c>
      <c r="AL15" s="2940" t="s">
        <v>2817</v>
      </c>
      <c r="AM15" s="2940" t="s">
        <v>2817</v>
      </c>
      <c r="AN15" s="2940" t="s">
        <v>2817</v>
      </c>
      <c r="AO15" s="2940" t="s">
        <v>3120</v>
      </c>
      <c r="AP15" s="2940" t="s">
        <v>2817</v>
      </c>
      <c r="AQ15" s="2940" t="s">
        <v>2817</v>
      </c>
      <c r="AR15" s="2940" t="s">
        <v>2817</v>
      </c>
    </row>
    <row r="16" spans="1:44" s="2940" customFormat="1">
      <c r="A16" s="2940" t="s">
        <v>3133</v>
      </c>
      <c r="B16" s="2940" t="s">
        <v>1947</v>
      </c>
      <c r="C16" s="2940" t="s">
        <v>3066</v>
      </c>
      <c r="D16" s="2940" t="s">
        <v>3067</v>
      </c>
      <c r="E16" s="2940" t="s">
        <v>2817</v>
      </c>
      <c r="F16" s="2940" t="s">
        <v>3068</v>
      </c>
      <c r="G16" s="2940" t="s">
        <v>3082</v>
      </c>
      <c r="H16" s="2940" t="s">
        <v>3134</v>
      </c>
      <c r="I16" s="2940" t="s">
        <v>3071</v>
      </c>
      <c r="J16" s="2940">
        <v>19979.490000000002</v>
      </c>
      <c r="K16" s="2940">
        <v>120000</v>
      </c>
      <c r="L16" s="2940">
        <v>6</v>
      </c>
      <c r="M16" s="2940" t="s">
        <v>2817</v>
      </c>
      <c r="N16" s="2940" t="s">
        <v>2817</v>
      </c>
      <c r="O16" s="2940" t="s">
        <v>2817</v>
      </c>
      <c r="P16" s="2940" t="s">
        <v>2817</v>
      </c>
      <c r="Q16" s="2940" t="s">
        <v>2817</v>
      </c>
      <c r="R16" s="2940" t="s">
        <v>2817</v>
      </c>
      <c r="S16" s="2940" t="s">
        <v>2817</v>
      </c>
      <c r="T16" s="2940" t="s">
        <v>2817</v>
      </c>
      <c r="U16" s="2940" t="s">
        <v>2817</v>
      </c>
      <c r="V16" s="2940" t="s">
        <v>2817</v>
      </c>
      <c r="W16" s="2940" t="s">
        <v>3101</v>
      </c>
      <c r="X16" s="2940" t="s">
        <v>3135</v>
      </c>
      <c r="Y16" s="2940" t="s">
        <v>3136</v>
      </c>
      <c r="Z16" s="2940" t="s">
        <v>3137</v>
      </c>
      <c r="AA16" s="2940" t="s">
        <v>3137</v>
      </c>
      <c r="AB16" s="2940" t="s">
        <v>3134</v>
      </c>
      <c r="AC16" s="2940" t="s">
        <v>3078</v>
      </c>
      <c r="AD16" s="2940" t="s">
        <v>3138</v>
      </c>
      <c r="AE16" s="2940">
        <v>54000</v>
      </c>
      <c r="AF16" s="2940">
        <v>180000</v>
      </c>
      <c r="AG16" s="2940">
        <v>251000</v>
      </c>
      <c r="AH16" s="2940">
        <v>6006.16</v>
      </c>
      <c r="AI16" s="2940">
        <v>8375.26</v>
      </c>
      <c r="AJ16" s="2940">
        <v>15000</v>
      </c>
      <c r="AK16" s="2940">
        <v>20916.66</v>
      </c>
      <c r="AL16" s="2940" t="s">
        <v>2817</v>
      </c>
      <c r="AM16" s="2940" t="s">
        <v>2817</v>
      </c>
      <c r="AN16" s="2940">
        <v>39.44</v>
      </c>
      <c r="AO16" s="2940" t="s">
        <v>3120</v>
      </c>
      <c r="AP16" s="2940" t="s">
        <v>2817</v>
      </c>
      <c r="AQ16" s="2940" t="s">
        <v>2817</v>
      </c>
      <c r="AR16" s="2940" t="s">
        <v>2817</v>
      </c>
    </row>
    <row r="17" spans="1:44" s="2940" customFormat="1">
      <c r="A17" s="2940" t="s">
        <v>3139</v>
      </c>
      <c r="B17" s="2940" t="s">
        <v>1947</v>
      </c>
      <c r="C17" s="2940" t="s">
        <v>3066</v>
      </c>
      <c r="D17" s="2940" t="s">
        <v>3067</v>
      </c>
      <c r="E17" s="2940" t="s">
        <v>2817</v>
      </c>
      <c r="F17" s="2940" t="s">
        <v>3140</v>
      </c>
      <c r="G17" s="2940" t="s">
        <v>3082</v>
      </c>
      <c r="H17" s="2940" t="s">
        <v>3141</v>
      </c>
      <c r="I17" s="2940" t="s">
        <v>3142</v>
      </c>
      <c r="J17" s="2940">
        <v>20070.2</v>
      </c>
      <c r="K17" s="2940">
        <v>45275</v>
      </c>
      <c r="L17" s="2940">
        <v>2.2599999999999998</v>
      </c>
      <c r="M17" s="2940" t="s">
        <v>2817</v>
      </c>
      <c r="N17" s="2940" t="s">
        <v>2817</v>
      </c>
      <c r="O17" s="2940" t="s">
        <v>2817</v>
      </c>
      <c r="P17" s="2940" t="s">
        <v>2817</v>
      </c>
      <c r="Q17" s="2940" t="s">
        <v>2817</v>
      </c>
      <c r="R17" s="2940" t="s">
        <v>2817</v>
      </c>
      <c r="S17" s="2940" t="s">
        <v>2817</v>
      </c>
      <c r="T17" s="2940" t="s">
        <v>2817</v>
      </c>
      <c r="U17" s="2940" t="s">
        <v>2817</v>
      </c>
      <c r="V17" s="2940" t="s">
        <v>2817</v>
      </c>
      <c r="W17" s="2940" t="s">
        <v>3101</v>
      </c>
      <c r="X17" s="2940" t="s">
        <v>3143</v>
      </c>
      <c r="Y17" s="2940" t="s">
        <v>3144</v>
      </c>
      <c r="Z17" s="2940" t="s">
        <v>3145</v>
      </c>
      <c r="AA17" s="2940" t="s">
        <v>3145</v>
      </c>
      <c r="AB17" s="2940" t="s">
        <v>3141</v>
      </c>
      <c r="AC17" s="2940" t="s">
        <v>3078</v>
      </c>
      <c r="AD17" s="2940" t="s">
        <v>3146</v>
      </c>
      <c r="AE17" s="2940">
        <v>17000</v>
      </c>
      <c r="AF17" s="2940">
        <v>55000</v>
      </c>
      <c r="AG17" s="2940">
        <v>55000</v>
      </c>
      <c r="AH17" s="2940">
        <v>1826.92</v>
      </c>
      <c r="AI17" s="2940">
        <v>1826.92</v>
      </c>
      <c r="AJ17" s="2940">
        <v>12147.98</v>
      </c>
      <c r="AK17" s="2940">
        <v>12147.97</v>
      </c>
      <c r="AL17" s="2940" t="s">
        <v>2817</v>
      </c>
      <c r="AM17" s="2940" t="s">
        <v>2817</v>
      </c>
      <c r="AN17" s="2940">
        <v>0</v>
      </c>
      <c r="AO17" s="2940" t="s">
        <v>3120</v>
      </c>
      <c r="AP17" s="2940" t="s">
        <v>2817</v>
      </c>
      <c r="AQ17" s="2940" t="s">
        <v>2817</v>
      </c>
      <c r="AR17" s="2940" t="s">
        <v>2817</v>
      </c>
    </row>
    <row r="18" spans="1:44" s="2940" customFormat="1">
      <c r="A18" s="2940" t="s">
        <v>3147</v>
      </c>
      <c r="B18" s="2940" t="s">
        <v>1947</v>
      </c>
      <c r="C18" s="2940" t="s">
        <v>3066</v>
      </c>
      <c r="D18" s="2940" t="s">
        <v>3067</v>
      </c>
      <c r="E18" s="2940" t="s">
        <v>2817</v>
      </c>
      <c r="F18" s="2940" t="s">
        <v>3099</v>
      </c>
      <c r="G18" s="2940" t="s">
        <v>3082</v>
      </c>
      <c r="H18" s="2940" t="s">
        <v>3148</v>
      </c>
      <c r="I18" s="2940" t="s">
        <v>3123</v>
      </c>
      <c r="J18" s="2940">
        <v>21137.72</v>
      </c>
      <c r="K18" s="2940">
        <v>84551</v>
      </c>
      <c r="L18" s="2940">
        <v>4</v>
      </c>
      <c r="M18" s="2940" t="s">
        <v>2817</v>
      </c>
      <c r="N18" s="2940" t="s">
        <v>2817</v>
      </c>
      <c r="O18" s="2940" t="s">
        <v>2817</v>
      </c>
      <c r="P18" s="2940" t="s">
        <v>2817</v>
      </c>
      <c r="Q18" s="2940" t="s">
        <v>2817</v>
      </c>
      <c r="R18" s="2940" t="s">
        <v>2817</v>
      </c>
      <c r="S18" s="2940" t="s">
        <v>2817</v>
      </c>
      <c r="T18" s="2940" t="s">
        <v>2817</v>
      </c>
      <c r="U18" s="2940" t="s">
        <v>2817</v>
      </c>
      <c r="V18" s="2940" t="s">
        <v>2817</v>
      </c>
      <c r="W18" s="2940" t="s">
        <v>3101</v>
      </c>
      <c r="X18" s="2940" t="s">
        <v>3149</v>
      </c>
      <c r="Y18" s="2940" t="s">
        <v>3150</v>
      </c>
      <c r="Z18" s="2940" t="s">
        <v>3151</v>
      </c>
      <c r="AA18" s="2940" t="s">
        <v>3151</v>
      </c>
      <c r="AB18" s="2940" t="s">
        <v>3148</v>
      </c>
      <c r="AC18" s="2940" t="s">
        <v>3078</v>
      </c>
      <c r="AD18" s="2940" t="s">
        <v>3152</v>
      </c>
      <c r="AE18" s="2940">
        <v>26000</v>
      </c>
      <c r="AF18" s="2940">
        <v>85000</v>
      </c>
      <c r="AG18" s="2940">
        <v>85000</v>
      </c>
      <c r="AH18" s="2940">
        <v>2680.83</v>
      </c>
      <c r="AI18" s="2940">
        <v>2680.83</v>
      </c>
      <c r="AJ18" s="2940">
        <v>10053.1</v>
      </c>
      <c r="AK18" s="2940">
        <v>10053.1</v>
      </c>
      <c r="AL18" s="2940" t="s">
        <v>2817</v>
      </c>
      <c r="AM18" s="2940" t="s">
        <v>2817</v>
      </c>
      <c r="AN18" s="2940">
        <v>0</v>
      </c>
      <c r="AO18" s="2940" t="s">
        <v>3120</v>
      </c>
      <c r="AP18" s="2940" t="s">
        <v>2817</v>
      </c>
      <c r="AQ18" s="2940" t="s">
        <v>2817</v>
      </c>
      <c r="AR18" s="2940" t="s">
        <v>2817</v>
      </c>
    </row>
    <row r="19" spans="1:44" s="2940" customFormat="1">
      <c r="A19" s="2940" t="s">
        <v>3153</v>
      </c>
      <c r="B19" s="2940" t="s">
        <v>1947</v>
      </c>
      <c r="C19" s="2940" t="s">
        <v>3066</v>
      </c>
      <c r="D19" s="2940" t="s">
        <v>3067</v>
      </c>
      <c r="E19" s="2940" t="s">
        <v>2817</v>
      </c>
      <c r="F19" s="2940" t="s">
        <v>3099</v>
      </c>
      <c r="G19" s="2940" t="s">
        <v>3082</v>
      </c>
      <c r="H19" s="2940" t="s">
        <v>3154</v>
      </c>
      <c r="I19" s="2940" t="s">
        <v>3155</v>
      </c>
      <c r="J19" s="2940">
        <v>54711.27</v>
      </c>
      <c r="K19" s="2940">
        <v>164134</v>
      </c>
      <c r="L19" s="2940">
        <v>3</v>
      </c>
      <c r="M19" s="2940" t="s">
        <v>2817</v>
      </c>
      <c r="N19" s="2940" t="s">
        <v>2817</v>
      </c>
      <c r="O19" s="2940" t="s">
        <v>2817</v>
      </c>
      <c r="P19" s="2940" t="s">
        <v>2817</v>
      </c>
      <c r="Q19" s="2940" t="s">
        <v>2817</v>
      </c>
      <c r="R19" s="2940" t="s">
        <v>2817</v>
      </c>
      <c r="S19" s="2940" t="s">
        <v>2817</v>
      </c>
      <c r="T19" s="2940" t="s">
        <v>2817</v>
      </c>
      <c r="U19" s="2940" t="s">
        <v>2817</v>
      </c>
      <c r="V19" s="2940" t="s">
        <v>2817</v>
      </c>
      <c r="W19" s="2940" t="s">
        <v>3101</v>
      </c>
      <c r="X19" s="2940" t="s">
        <v>3156</v>
      </c>
      <c r="Y19" s="2940" t="s">
        <v>3157</v>
      </c>
      <c r="Z19" s="2940" t="s">
        <v>3158</v>
      </c>
      <c r="AA19" s="2940" t="s">
        <v>3158</v>
      </c>
      <c r="AB19" s="2940" t="s">
        <v>3154</v>
      </c>
      <c r="AC19" s="2940" t="s">
        <v>3078</v>
      </c>
      <c r="AD19" s="2940" t="s">
        <v>3159</v>
      </c>
      <c r="AE19" s="2940">
        <v>50000</v>
      </c>
      <c r="AF19" s="2940">
        <v>165000</v>
      </c>
      <c r="AG19" s="2940">
        <v>258000</v>
      </c>
      <c r="AH19" s="2940">
        <v>2010.55</v>
      </c>
      <c r="AI19" s="2940">
        <v>3143.78</v>
      </c>
      <c r="AJ19" s="2940">
        <v>10052.76</v>
      </c>
      <c r="AK19" s="2940">
        <v>15718.86</v>
      </c>
      <c r="AL19" s="2940" t="s">
        <v>2817</v>
      </c>
      <c r="AM19" s="2940" t="s">
        <v>2817</v>
      </c>
      <c r="AN19" s="2940">
        <v>56.36</v>
      </c>
      <c r="AO19" s="2940" t="s">
        <v>3120</v>
      </c>
      <c r="AP19" s="2940" t="s">
        <v>2817</v>
      </c>
      <c r="AQ19" s="2940" t="s">
        <v>2817</v>
      </c>
      <c r="AR19" s="2940" t="s">
        <v>2817</v>
      </c>
    </row>
    <row r="20" spans="1:44" s="2940" customFormat="1">
      <c r="A20" s="2940" t="s">
        <v>3160</v>
      </c>
      <c r="B20" s="2940" t="s">
        <v>1947</v>
      </c>
      <c r="C20" s="2940" t="s">
        <v>3066</v>
      </c>
      <c r="D20" s="2940" t="s">
        <v>3067</v>
      </c>
      <c r="E20" s="2940" t="s">
        <v>2817</v>
      </c>
      <c r="F20" s="2940" t="s">
        <v>3068</v>
      </c>
      <c r="G20" s="2940" t="s">
        <v>3082</v>
      </c>
      <c r="H20" s="2940" t="s">
        <v>3161</v>
      </c>
      <c r="I20" s="2940" t="s">
        <v>3162</v>
      </c>
      <c r="J20" s="2940">
        <v>4435.8599999999997</v>
      </c>
      <c r="K20" s="2940">
        <v>10000</v>
      </c>
      <c r="L20" s="2940">
        <v>2.25</v>
      </c>
      <c r="M20" s="2940" t="s">
        <v>2817</v>
      </c>
      <c r="N20" s="2940" t="s">
        <v>2817</v>
      </c>
      <c r="O20" s="2940" t="s">
        <v>2817</v>
      </c>
      <c r="P20" s="2940" t="s">
        <v>2817</v>
      </c>
      <c r="Q20" s="2940" t="s">
        <v>2817</v>
      </c>
      <c r="R20" s="2940" t="s">
        <v>2817</v>
      </c>
      <c r="S20" s="2940" t="s">
        <v>2817</v>
      </c>
      <c r="T20" s="2940" t="s">
        <v>2817</v>
      </c>
      <c r="U20" s="2940" t="s">
        <v>2817</v>
      </c>
      <c r="V20" s="2940" t="s">
        <v>2817</v>
      </c>
      <c r="W20" s="2940" t="s">
        <v>3101</v>
      </c>
      <c r="X20" s="2940" t="s">
        <v>3163</v>
      </c>
      <c r="Y20" s="2940" t="s">
        <v>3164</v>
      </c>
      <c r="Z20" s="2940" t="s">
        <v>3156</v>
      </c>
      <c r="AA20" s="2940" t="s">
        <v>3156</v>
      </c>
      <c r="AB20" s="2940" t="s">
        <v>3161</v>
      </c>
      <c r="AC20" s="2940" t="s">
        <v>3078</v>
      </c>
      <c r="AD20" s="2940" t="s">
        <v>3165</v>
      </c>
      <c r="AE20" s="2940">
        <v>4600</v>
      </c>
      <c r="AF20" s="2940">
        <v>15350</v>
      </c>
      <c r="AG20" s="2940">
        <v>15350</v>
      </c>
      <c r="AH20" s="2940">
        <v>2306.96</v>
      </c>
      <c r="AI20" s="2940">
        <v>2306.96</v>
      </c>
      <c r="AJ20" s="2940">
        <v>15350</v>
      </c>
      <c r="AK20" s="2940">
        <v>15350</v>
      </c>
      <c r="AL20" s="2940" t="s">
        <v>2817</v>
      </c>
      <c r="AM20" s="2940" t="s">
        <v>2817</v>
      </c>
      <c r="AN20" s="2940">
        <v>0</v>
      </c>
      <c r="AO20" s="2940" t="s">
        <v>3120</v>
      </c>
      <c r="AP20" s="2940" t="s">
        <v>2817</v>
      </c>
      <c r="AQ20" s="2940" t="s">
        <v>2817</v>
      </c>
      <c r="AR20" s="2940" t="s">
        <v>2817</v>
      </c>
    </row>
    <row r="21" spans="1:44" s="2940" customFormat="1">
      <c r="A21" s="2940" t="s">
        <v>3166</v>
      </c>
      <c r="B21" s="2940" t="s">
        <v>1947</v>
      </c>
      <c r="C21" s="2940" t="s">
        <v>3066</v>
      </c>
      <c r="D21" s="2940" t="s">
        <v>3067</v>
      </c>
      <c r="E21" s="2940" t="s">
        <v>2817</v>
      </c>
      <c r="F21" s="2940" t="s">
        <v>3167</v>
      </c>
      <c r="G21" s="2940" t="s">
        <v>3082</v>
      </c>
      <c r="H21" s="2940" t="s">
        <v>3168</v>
      </c>
      <c r="I21" s="2940" t="s">
        <v>3123</v>
      </c>
      <c r="J21" s="2940">
        <v>23493.01</v>
      </c>
      <c r="K21" s="2940">
        <v>70479</v>
      </c>
      <c r="L21" s="2940">
        <v>3</v>
      </c>
      <c r="M21" s="2940" t="s">
        <v>2817</v>
      </c>
      <c r="N21" s="2940" t="s">
        <v>2817</v>
      </c>
      <c r="O21" s="2940" t="s">
        <v>2817</v>
      </c>
      <c r="P21" s="2940" t="s">
        <v>2817</v>
      </c>
      <c r="Q21" s="2940" t="s">
        <v>2817</v>
      </c>
      <c r="R21" s="2940" t="s">
        <v>2817</v>
      </c>
      <c r="S21" s="2940" t="s">
        <v>2817</v>
      </c>
      <c r="T21" s="2940" t="s">
        <v>2817</v>
      </c>
      <c r="U21" s="2940" t="s">
        <v>2817</v>
      </c>
      <c r="V21" s="2940" t="s">
        <v>2817</v>
      </c>
      <c r="W21" s="2940" t="s">
        <v>3086</v>
      </c>
      <c r="X21" s="2940" t="s">
        <v>3169</v>
      </c>
      <c r="Y21" s="2940" t="s">
        <v>3170</v>
      </c>
      <c r="Z21" s="2940" t="s">
        <v>3171</v>
      </c>
      <c r="AA21" s="2940" t="s">
        <v>3171</v>
      </c>
      <c r="AB21" s="2940" t="s">
        <v>3168</v>
      </c>
      <c r="AC21" s="2940" t="s">
        <v>3078</v>
      </c>
      <c r="AD21" s="2940" t="s">
        <v>3172</v>
      </c>
      <c r="AE21" s="2940">
        <v>17000</v>
      </c>
      <c r="AF21" s="2940">
        <v>56400</v>
      </c>
      <c r="AG21" s="2940">
        <v>56400</v>
      </c>
      <c r="AH21" s="2940">
        <v>1600.48</v>
      </c>
      <c r="AI21" s="2940">
        <v>1600.48</v>
      </c>
      <c r="AJ21" s="2940">
        <v>8002.38</v>
      </c>
      <c r="AK21" s="2940">
        <v>8002.38</v>
      </c>
      <c r="AL21" s="2940" t="s">
        <v>2817</v>
      </c>
      <c r="AM21" s="2940" t="s">
        <v>2817</v>
      </c>
      <c r="AN21" s="2940">
        <v>0</v>
      </c>
      <c r="AO21" s="2940" t="s">
        <v>3120</v>
      </c>
      <c r="AP21" s="2940" t="s">
        <v>2817</v>
      </c>
      <c r="AQ21" s="2940" t="s">
        <v>2817</v>
      </c>
      <c r="AR21" s="2940" t="s">
        <v>2817</v>
      </c>
    </row>
    <row r="22" spans="1:44" s="2940" customFormat="1">
      <c r="A22" s="2940" t="s">
        <v>3173</v>
      </c>
      <c r="B22" s="2940" t="s">
        <v>1947</v>
      </c>
      <c r="C22" s="2940" t="s">
        <v>3066</v>
      </c>
      <c r="D22" s="2940" t="s">
        <v>3067</v>
      </c>
      <c r="E22" s="2940" t="s">
        <v>2817</v>
      </c>
      <c r="F22" s="2940" t="s">
        <v>3068</v>
      </c>
      <c r="G22" s="2940" t="s">
        <v>3069</v>
      </c>
      <c r="H22" s="2940" t="s">
        <v>3174</v>
      </c>
      <c r="I22" s="2940" t="s">
        <v>3123</v>
      </c>
      <c r="J22" s="2940">
        <v>14365.3</v>
      </c>
      <c r="K22" s="2940">
        <v>124000</v>
      </c>
      <c r="L22" s="2940">
        <v>8.6300000000000008</v>
      </c>
      <c r="M22" s="2940" t="s">
        <v>2817</v>
      </c>
      <c r="N22" s="2940" t="s">
        <v>2817</v>
      </c>
      <c r="O22" s="2940" t="s">
        <v>2817</v>
      </c>
      <c r="P22" s="2940" t="s">
        <v>2817</v>
      </c>
      <c r="Q22" s="2940" t="s">
        <v>2817</v>
      </c>
      <c r="R22" s="2940" t="s">
        <v>2817</v>
      </c>
      <c r="S22" s="2940" t="s">
        <v>2817</v>
      </c>
      <c r="T22" s="2940" t="s">
        <v>2817</v>
      </c>
      <c r="U22" s="2940" t="s">
        <v>2817</v>
      </c>
      <c r="V22" s="2940" t="s">
        <v>2817</v>
      </c>
      <c r="W22" s="2940" t="s">
        <v>3101</v>
      </c>
      <c r="X22" s="2940" t="s">
        <v>3175</v>
      </c>
      <c r="Y22" s="2940" t="s">
        <v>3176</v>
      </c>
      <c r="Z22" s="2940" t="s">
        <v>3177</v>
      </c>
      <c r="AA22" s="2940" t="s">
        <v>3177</v>
      </c>
      <c r="AB22" s="2940" t="s">
        <v>3174</v>
      </c>
      <c r="AC22" s="2940" t="s">
        <v>3078</v>
      </c>
      <c r="AD22" s="2940" t="s">
        <v>3178</v>
      </c>
      <c r="AE22" s="2940">
        <v>40000</v>
      </c>
      <c r="AF22" s="2940" t="s">
        <v>2817</v>
      </c>
      <c r="AG22" s="2940">
        <v>192200</v>
      </c>
      <c r="AH22" s="2940" t="s">
        <v>2817</v>
      </c>
      <c r="AI22" s="2940">
        <v>8919.64</v>
      </c>
      <c r="AJ22" s="2940" t="s">
        <v>2817</v>
      </c>
      <c r="AK22" s="2940">
        <v>15500</v>
      </c>
      <c r="AL22" s="2940" t="s">
        <v>2817</v>
      </c>
      <c r="AM22" s="2940" t="s">
        <v>2817</v>
      </c>
      <c r="AN22" s="2940" t="s">
        <v>2817</v>
      </c>
      <c r="AO22" s="2940" t="s">
        <v>3120</v>
      </c>
      <c r="AP22" s="2940" t="s">
        <v>2817</v>
      </c>
      <c r="AQ22" s="2940" t="s">
        <v>2817</v>
      </c>
      <c r="AR22" s="2940" t="s">
        <v>2817</v>
      </c>
    </row>
    <row r="23" spans="1:44" s="2940" customFormat="1">
      <c r="A23" s="2940" t="s">
        <v>3179</v>
      </c>
      <c r="B23" s="2940" t="s">
        <v>1947</v>
      </c>
      <c r="C23" s="2940" t="s">
        <v>3066</v>
      </c>
      <c r="D23" s="2940" t="s">
        <v>3067</v>
      </c>
      <c r="E23" s="2940" t="s">
        <v>2817</v>
      </c>
      <c r="F23" s="2940" t="s">
        <v>3068</v>
      </c>
      <c r="G23" s="2940" t="s">
        <v>3069</v>
      </c>
      <c r="H23" s="2940" t="s">
        <v>3180</v>
      </c>
      <c r="I23" s="2940" t="s">
        <v>3123</v>
      </c>
      <c r="J23" s="2940">
        <v>10389.4</v>
      </c>
      <c r="K23" s="2940">
        <v>70000</v>
      </c>
      <c r="L23" s="2940">
        <v>6.74</v>
      </c>
      <c r="M23" s="2940" t="s">
        <v>2817</v>
      </c>
      <c r="N23" s="2940" t="s">
        <v>2817</v>
      </c>
      <c r="O23" s="2940" t="s">
        <v>2817</v>
      </c>
      <c r="P23" s="2940" t="s">
        <v>2817</v>
      </c>
      <c r="Q23" s="2940" t="s">
        <v>2817</v>
      </c>
      <c r="R23" s="2940" t="s">
        <v>2817</v>
      </c>
      <c r="S23" s="2940" t="s">
        <v>2817</v>
      </c>
      <c r="T23" s="2940" t="s">
        <v>2817</v>
      </c>
      <c r="U23" s="2940" t="s">
        <v>2817</v>
      </c>
      <c r="V23" s="2940" t="s">
        <v>2817</v>
      </c>
      <c r="W23" s="2940" t="s">
        <v>3101</v>
      </c>
      <c r="X23" s="2940" t="s">
        <v>3181</v>
      </c>
      <c r="Y23" s="2940" t="s">
        <v>3182</v>
      </c>
      <c r="Z23" s="2940" t="s">
        <v>3182</v>
      </c>
      <c r="AA23" s="2940" t="s">
        <v>3182</v>
      </c>
      <c r="AB23" s="2940" t="s">
        <v>3180</v>
      </c>
      <c r="AC23" s="2940" t="s">
        <v>3078</v>
      </c>
      <c r="AD23" s="2940" t="s">
        <v>3183</v>
      </c>
      <c r="AE23" s="2940">
        <v>19000</v>
      </c>
      <c r="AF23" s="2940" t="s">
        <v>2817</v>
      </c>
      <c r="AG23" s="2940">
        <v>94600</v>
      </c>
      <c r="AH23" s="2940" t="s">
        <v>2817</v>
      </c>
      <c r="AI23" s="2940">
        <v>6070.29</v>
      </c>
      <c r="AJ23" s="2940" t="s">
        <v>2817</v>
      </c>
      <c r="AK23" s="2940">
        <v>13514.29</v>
      </c>
      <c r="AL23" s="2940" t="s">
        <v>2817</v>
      </c>
      <c r="AM23" s="2940" t="s">
        <v>2817</v>
      </c>
      <c r="AN23" s="2940" t="s">
        <v>2817</v>
      </c>
      <c r="AO23" s="2940" t="s">
        <v>3120</v>
      </c>
      <c r="AP23" s="2940" t="s">
        <v>2817</v>
      </c>
      <c r="AQ23" s="2940" t="s">
        <v>2817</v>
      </c>
      <c r="AR23" s="2940" t="s">
        <v>2817</v>
      </c>
    </row>
    <row r="24" spans="1:44" s="2940" customFormat="1">
      <c r="A24" s="2940" t="s">
        <v>3184</v>
      </c>
      <c r="B24" s="2940" t="s">
        <v>1947</v>
      </c>
      <c r="C24" s="2940" t="s">
        <v>3066</v>
      </c>
      <c r="D24" s="2940" t="s">
        <v>3067</v>
      </c>
      <c r="E24" s="2940" t="s">
        <v>2817</v>
      </c>
      <c r="F24" s="2940" t="s">
        <v>3068</v>
      </c>
      <c r="G24" s="2940" t="s">
        <v>3069</v>
      </c>
      <c r="H24" s="2940" t="s">
        <v>3185</v>
      </c>
      <c r="I24" s="2940" t="s">
        <v>3123</v>
      </c>
      <c r="J24" s="2940">
        <v>18859</v>
      </c>
      <c r="K24" s="2940">
        <v>160000</v>
      </c>
      <c r="L24" s="2940">
        <v>8.48</v>
      </c>
      <c r="M24" s="2940" t="s">
        <v>2817</v>
      </c>
      <c r="N24" s="2940" t="s">
        <v>2817</v>
      </c>
      <c r="O24" s="2940" t="s">
        <v>2817</v>
      </c>
      <c r="P24" s="2940" t="s">
        <v>2817</v>
      </c>
      <c r="Q24" s="2940" t="s">
        <v>2817</v>
      </c>
      <c r="R24" s="2940" t="s">
        <v>2817</v>
      </c>
      <c r="S24" s="2940" t="s">
        <v>2817</v>
      </c>
      <c r="T24" s="2940" t="s">
        <v>2817</v>
      </c>
      <c r="U24" s="2940" t="s">
        <v>2817</v>
      </c>
      <c r="V24" s="2940" t="s">
        <v>2817</v>
      </c>
      <c r="W24" s="2940" t="s">
        <v>3101</v>
      </c>
      <c r="X24" s="2940" t="s">
        <v>3181</v>
      </c>
      <c r="Y24" s="2940" t="s">
        <v>3182</v>
      </c>
      <c r="Z24" s="2940" t="s">
        <v>3182</v>
      </c>
      <c r="AA24" s="2940" t="s">
        <v>3182</v>
      </c>
      <c r="AB24" s="2940" t="s">
        <v>3185</v>
      </c>
      <c r="AC24" s="2940" t="s">
        <v>3078</v>
      </c>
      <c r="AD24" s="2940" t="s">
        <v>3186</v>
      </c>
      <c r="AE24" s="2940">
        <v>40000</v>
      </c>
      <c r="AF24" s="2940" t="s">
        <v>2817</v>
      </c>
      <c r="AG24" s="2940">
        <v>193800</v>
      </c>
      <c r="AH24" s="2940" t="s">
        <v>2817</v>
      </c>
      <c r="AI24" s="2940">
        <v>6850.84</v>
      </c>
      <c r="AJ24" s="2940" t="s">
        <v>2817</v>
      </c>
      <c r="AK24" s="2940">
        <v>12112.5</v>
      </c>
      <c r="AL24" s="2940" t="s">
        <v>2817</v>
      </c>
      <c r="AM24" s="2940" t="s">
        <v>2817</v>
      </c>
      <c r="AN24" s="2940" t="s">
        <v>2817</v>
      </c>
      <c r="AO24" s="2940" t="s">
        <v>3120</v>
      </c>
      <c r="AP24" s="2940" t="s">
        <v>2817</v>
      </c>
      <c r="AQ24" s="2940" t="s">
        <v>2817</v>
      </c>
      <c r="AR24" s="2940" t="s">
        <v>2817</v>
      </c>
    </row>
    <row r="25" spans="1:44" s="2940" customFormat="1">
      <c r="A25" s="2940" t="s">
        <v>3187</v>
      </c>
      <c r="B25" s="2940" t="s">
        <v>1947</v>
      </c>
      <c r="C25" s="2940" t="s">
        <v>3066</v>
      </c>
      <c r="D25" s="2940" t="s">
        <v>3067</v>
      </c>
      <c r="E25" s="2940" t="s">
        <v>2817</v>
      </c>
      <c r="F25" s="2940" t="s">
        <v>3068</v>
      </c>
      <c r="G25" s="2940" t="s">
        <v>3069</v>
      </c>
      <c r="H25" s="2940" t="s">
        <v>3188</v>
      </c>
      <c r="I25" s="2940" t="s">
        <v>3123</v>
      </c>
      <c r="J25" s="2940">
        <v>15963.04</v>
      </c>
      <c r="K25" s="2940">
        <v>149900</v>
      </c>
      <c r="L25" s="2940">
        <v>9.39</v>
      </c>
      <c r="M25" s="2940" t="s">
        <v>2817</v>
      </c>
      <c r="N25" s="2940" t="s">
        <v>2817</v>
      </c>
      <c r="O25" s="2940" t="s">
        <v>2817</v>
      </c>
      <c r="P25" s="2940" t="s">
        <v>2817</v>
      </c>
      <c r="Q25" s="2940" t="s">
        <v>2817</v>
      </c>
      <c r="R25" s="2940" t="s">
        <v>2817</v>
      </c>
      <c r="S25" s="2940" t="s">
        <v>2817</v>
      </c>
      <c r="T25" s="2940" t="s">
        <v>2817</v>
      </c>
      <c r="U25" s="2940" t="s">
        <v>2817</v>
      </c>
      <c r="V25" s="2940" t="s">
        <v>2817</v>
      </c>
      <c r="W25" s="2940" t="s">
        <v>3101</v>
      </c>
      <c r="X25" s="2940" t="s">
        <v>3181</v>
      </c>
      <c r="Y25" s="2940" t="s">
        <v>3189</v>
      </c>
      <c r="Z25" s="2940" t="s">
        <v>3190</v>
      </c>
      <c r="AA25" s="2940" t="s">
        <v>3190</v>
      </c>
      <c r="AB25" s="2940" t="s">
        <v>3188</v>
      </c>
      <c r="AC25" s="2940" t="s">
        <v>3078</v>
      </c>
      <c r="AD25" s="2940" t="s">
        <v>3191</v>
      </c>
      <c r="AE25" s="2940">
        <v>40000</v>
      </c>
      <c r="AF25" s="2940" t="s">
        <v>2817</v>
      </c>
      <c r="AG25" s="2940">
        <v>218000</v>
      </c>
      <c r="AH25" s="2940" t="s">
        <v>2817</v>
      </c>
      <c r="AI25" s="2940">
        <v>9104.36</v>
      </c>
      <c r="AJ25" s="2940" t="s">
        <v>2817</v>
      </c>
      <c r="AK25" s="2940">
        <v>14543.03</v>
      </c>
      <c r="AL25" s="2940" t="s">
        <v>2817</v>
      </c>
      <c r="AM25" s="2940" t="s">
        <v>2817</v>
      </c>
      <c r="AN25" s="2940" t="s">
        <v>2817</v>
      </c>
      <c r="AO25" s="2940" t="s">
        <v>3120</v>
      </c>
      <c r="AP25" s="2940" t="s">
        <v>2817</v>
      </c>
      <c r="AQ25" s="2940" t="s">
        <v>2817</v>
      </c>
      <c r="AR25" s="2940" t="s">
        <v>2817</v>
      </c>
    </row>
    <row r="26" spans="1:44" s="2940" customFormat="1">
      <c r="A26" s="2940" t="s">
        <v>3192</v>
      </c>
      <c r="B26" s="2940" t="s">
        <v>1947</v>
      </c>
      <c r="C26" s="2940" t="s">
        <v>3066</v>
      </c>
      <c r="D26" s="2940" t="s">
        <v>3067</v>
      </c>
      <c r="E26" s="2940" t="s">
        <v>2817</v>
      </c>
      <c r="F26" s="2940" t="s">
        <v>3193</v>
      </c>
      <c r="G26" s="2940" t="s">
        <v>3069</v>
      </c>
      <c r="H26" s="2940" t="s">
        <v>3194</v>
      </c>
      <c r="I26" s="2940" t="s">
        <v>3071</v>
      </c>
      <c r="J26" s="2940">
        <v>140919.5</v>
      </c>
      <c r="K26" s="2940">
        <v>155011</v>
      </c>
      <c r="L26" s="2940">
        <v>1.01</v>
      </c>
      <c r="M26" s="2940" t="s">
        <v>2817</v>
      </c>
      <c r="N26" s="2940" t="s">
        <v>2817</v>
      </c>
      <c r="O26" s="2940" t="s">
        <v>2817</v>
      </c>
      <c r="P26" s="2940" t="s">
        <v>2817</v>
      </c>
      <c r="Q26" s="2940" t="s">
        <v>2817</v>
      </c>
      <c r="R26" s="2940" t="s">
        <v>2817</v>
      </c>
      <c r="S26" s="2940" t="s">
        <v>2817</v>
      </c>
      <c r="T26" s="2940" t="s">
        <v>2817</v>
      </c>
      <c r="U26" s="2940" t="s">
        <v>2817</v>
      </c>
      <c r="V26" s="2940" t="s">
        <v>2817</v>
      </c>
      <c r="W26" s="2940" t="s">
        <v>3101</v>
      </c>
      <c r="X26" s="2940" t="s">
        <v>2817</v>
      </c>
      <c r="Y26" s="2940" t="s">
        <v>3195</v>
      </c>
      <c r="Z26" s="2940" t="s">
        <v>3196</v>
      </c>
      <c r="AA26" s="2940" t="s">
        <v>3196</v>
      </c>
      <c r="AB26" s="2940" t="s">
        <v>2817</v>
      </c>
      <c r="AC26" s="2940" t="s">
        <v>3078</v>
      </c>
      <c r="AD26" s="2940" t="s">
        <v>3197</v>
      </c>
      <c r="AE26" s="2940">
        <v>17000</v>
      </c>
      <c r="AF26" s="2940" t="s">
        <v>2817</v>
      </c>
      <c r="AG26" s="2940">
        <v>85200</v>
      </c>
      <c r="AH26" s="2940" t="s">
        <v>2817</v>
      </c>
      <c r="AI26" s="2940">
        <v>403.07</v>
      </c>
      <c r="AJ26" s="2940" t="s">
        <v>2817</v>
      </c>
      <c r="AK26" s="2940">
        <v>5496.38</v>
      </c>
      <c r="AL26" s="2940" t="s">
        <v>2817</v>
      </c>
      <c r="AM26" s="2940" t="s">
        <v>2817</v>
      </c>
      <c r="AN26" s="2940" t="s">
        <v>2817</v>
      </c>
      <c r="AO26" s="2940" t="s">
        <v>3120</v>
      </c>
      <c r="AP26" s="2940" t="s">
        <v>2817</v>
      </c>
      <c r="AQ26" s="2940" t="s">
        <v>2817</v>
      </c>
      <c r="AR26" s="2940" t="s">
        <v>2817</v>
      </c>
    </row>
    <row r="27" spans="1:44" s="2940" customFormat="1">
      <c r="A27" s="2940" t="s">
        <v>3198</v>
      </c>
      <c r="B27" s="2940" t="s">
        <v>1947</v>
      </c>
      <c r="C27" s="2940" t="s">
        <v>3066</v>
      </c>
      <c r="D27" s="2940" t="s">
        <v>3067</v>
      </c>
      <c r="E27" s="2940" t="s">
        <v>2817</v>
      </c>
      <c r="F27" s="2940" t="s">
        <v>3068</v>
      </c>
      <c r="G27" s="2940" t="s">
        <v>3082</v>
      </c>
      <c r="H27" s="2940" t="s">
        <v>3199</v>
      </c>
      <c r="I27" s="2940" t="s">
        <v>3200</v>
      </c>
      <c r="J27" s="2940">
        <v>33019</v>
      </c>
      <c r="K27" s="2940">
        <v>165095</v>
      </c>
      <c r="L27" s="2940">
        <v>5</v>
      </c>
      <c r="M27" s="2940" t="s">
        <v>2817</v>
      </c>
      <c r="N27" s="2940" t="s">
        <v>2817</v>
      </c>
      <c r="O27" s="2940" t="s">
        <v>2817</v>
      </c>
      <c r="P27" s="2940" t="s">
        <v>2817</v>
      </c>
      <c r="Q27" s="2940" t="s">
        <v>2817</v>
      </c>
      <c r="R27" s="2940" t="s">
        <v>2817</v>
      </c>
      <c r="S27" s="2940" t="s">
        <v>2817</v>
      </c>
      <c r="T27" s="2940" t="s">
        <v>2817</v>
      </c>
      <c r="U27" s="2940" t="s">
        <v>2817</v>
      </c>
      <c r="V27" s="2940" t="s">
        <v>2817</v>
      </c>
      <c r="W27" s="2940" t="s">
        <v>3101</v>
      </c>
      <c r="X27" s="2940" t="s">
        <v>2817</v>
      </c>
      <c r="Y27" s="2940" t="s">
        <v>3201</v>
      </c>
      <c r="Z27" s="2940" t="s">
        <v>3202</v>
      </c>
      <c r="AA27" s="2940" t="s">
        <v>3202</v>
      </c>
      <c r="AB27" s="2940" t="s">
        <v>2817</v>
      </c>
      <c r="AC27" s="2940" t="s">
        <v>3078</v>
      </c>
      <c r="AD27" s="2940" t="s">
        <v>3203</v>
      </c>
      <c r="AE27" s="2940">
        <v>5400</v>
      </c>
      <c r="AF27" s="2940">
        <v>35800</v>
      </c>
      <c r="AG27" s="2940">
        <v>35800</v>
      </c>
      <c r="AH27" s="2940">
        <v>722.82</v>
      </c>
      <c r="AI27" s="2940">
        <v>722.82</v>
      </c>
      <c r="AJ27" s="2940">
        <v>2168.44</v>
      </c>
      <c r="AK27" s="2940">
        <v>2168.44</v>
      </c>
      <c r="AL27" s="2940" t="s">
        <v>2817</v>
      </c>
      <c r="AM27" s="2940" t="s">
        <v>2817</v>
      </c>
      <c r="AN27" s="2940">
        <v>0</v>
      </c>
      <c r="AO27" s="2940" t="s">
        <v>3204</v>
      </c>
      <c r="AP27" s="2940" t="s">
        <v>2817</v>
      </c>
      <c r="AQ27" s="2940" t="s">
        <v>2817</v>
      </c>
      <c r="AR27" s="2940" t="s">
        <v>2817</v>
      </c>
    </row>
    <row r="28" spans="1:44" s="2940" customFormat="1">
      <c r="A28" s="2940" t="s">
        <v>3205</v>
      </c>
      <c r="B28" s="2940" t="s">
        <v>1947</v>
      </c>
      <c r="C28" s="2940" t="s">
        <v>3066</v>
      </c>
      <c r="D28" s="2940" t="s">
        <v>3067</v>
      </c>
      <c r="E28" s="2940" t="s">
        <v>2817</v>
      </c>
      <c r="F28" s="2940" t="s">
        <v>3206</v>
      </c>
      <c r="G28" s="2940" t="s">
        <v>3069</v>
      </c>
      <c r="H28" s="2940" t="s">
        <v>3207</v>
      </c>
      <c r="I28" s="2940" t="s">
        <v>3123</v>
      </c>
      <c r="J28" s="2940">
        <v>21103.200000000001</v>
      </c>
      <c r="K28" s="2940">
        <v>155000</v>
      </c>
      <c r="L28" s="2940">
        <v>7.35</v>
      </c>
      <c r="M28" s="2940" t="s">
        <v>2817</v>
      </c>
      <c r="N28" s="2940" t="s">
        <v>2817</v>
      </c>
      <c r="O28" s="2940" t="s">
        <v>2817</v>
      </c>
      <c r="P28" s="2940" t="s">
        <v>2817</v>
      </c>
      <c r="Q28" s="2940" t="s">
        <v>2817</v>
      </c>
      <c r="R28" s="2940" t="s">
        <v>2817</v>
      </c>
      <c r="S28" s="2940" t="s">
        <v>2817</v>
      </c>
      <c r="T28" s="2940" t="s">
        <v>2817</v>
      </c>
      <c r="U28" s="2940" t="s">
        <v>2817</v>
      </c>
      <c r="V28" s="2940" t="s">
        <v>2817</v>
      </c>
      <c r="W28" s="2940" t="s">
        <v>3101</v>
      </c>
      <c r="X28" s="2940" t="s">
        <v>2817</v>
      </c>
      <c r="Y28" s="2940" t="s">
        <v>3208</v>
      </c>
      <c r="Z28" s="2940" t="s">
        <v>3208</v>
      </c>
      <c r="AA28" s="2940" t="s">
        <v>3209</v>
      </c>
      <c r="AB28" s="2940" t="s">
        <v>2817</v>
      </c>
      <c r="AC28" s="2940" t="s">
        <v>3078</v>
      </c>
      <c r="AD28" s="2940" t="s">
        <v>3210</v>
      </c>
      <c r="AE28" s="2940">
        <v>30000</v>
      </c>
      <c r="AF28" s="2940" t="s">
        <v>2817</v>
      </c>
      <c r="AG28" s="2940">
        <v>171700</v>
      </c>
      <c r="AH28" s="2940" t="s">
        <v>2817</v>
      </c>
      <c r="AI28" s="2940">
        <v>5424.14</v>
      </c>
      <c r="AJ28" s="2940" t="s">
        <v>2817</v>
      </c>
      <c r="AK28" s="2940">
        <v>11077.42</v>
      </c>
      <c r="AL28" s="2940" t="s">
        <v>2817</v>
      </c>
      <c r="AM28" s="2940" t="s">
        <v>2817</v>
      </c>
      <c r="AN28" s="2940" t="s">
        <v>2817</v>
      </c>
      <c r="AO28" s="2940" t="s">
        <v>3120</v>
      </c>
      <c r="AP28" s="2940" t="s">
        <v>2817</v>
      </c>
      <c r="AQ28" s="2940" t="s">
        <v>2817</v>
      </c>
      <c r="AR28" s="2940" t="s">
        <v>2817</v>
      </c>
    </row>
    <row r="29" spans="1:44" s="2940" customFormat="1">
      <c r="A29" s="2940" t="s">
        <v>3211</v>
      </c>
      <c r="B29" s="2940" t="s">
        <v>1947</v>
      </c>
      <c r="C29" s="2940" t="s">
        <v>3066</v>
      </c>
      <c r="D29" s="2940" t="s">
        <v>3067</v>
      </c>
      <c r="E29" s="2940" t="s">
        <v>2817</v>
      </c>
      <c r="F29" s="2940" t="s">
        <v>3206</v>
      </c>
      <c r="G29" s="2940" t="s">
        <v>3069</v>
      </c>
      <c r="H29" s="2940" t="s">
        <v>3212</v>
      </c>
      <c r="I29" s="2940" t="s">
        <v>3155</v>
      </c>
      <c r="J29" s="2940">
        <v>17247.400000000001</v>
      </c>
      <c r="K29" s="2940">
        <v>90000</v>
      </c>
      <c r="L29" s="2940">
        <v>5.22</v>
      </c>
      <c r="M29" s="2940" t="s">
        <v>2817</v>
      </c>
      <c r="N29" s="2940" t="s">
        <v>2817</v>
      </c>
      <c r="O29" s="2940" t="s">
        <v>2817</v>
      </c>
      <c r="P29" s="2940" t="s">
        <v>2817</v>
      </c>
      <c r="Q29" s="2940" t="s">
        <v>2817</v>
      </c>
      <c r="R29" s="2940" t="s">
        <v>2817</v>
      </c>
      <c r="S29" s="2940" t="s">
        <v>2817</v>
      </c>
      <c r="T29" s="2940" t="s">
        <v>2817</v>
      </c>
      <c r="U29" s="2940" t="s">
        <v>2817</v>
      </c>
      <c r="V29" s="2940" t="s">
        <v>2817</v>
      </c>
      <c r="W29" s="2940" t="s">
        <v>3101</v>
      </c>
      <c r="X29" s="2940" t="s">
        <v>2817</v>
      </c>
      <c r="Y29" s="2940" t="s">
        <v>3208</v>
      </c>
      <c r="Z29" s="2940" t="s">
        <v>3208</v>
      </c>
      <c r="AA29" s="2940" t="s">
        <v>3209</v>
      </c>
      <c r="AB29" s="2940" t="s">
        <v>2817</v>
      </c>
      <c r="AC29" s="2940" t="s">
        <v>3078</v>
      </c>
      <c r="AD29" s="2940" t="s">
        <v>3213</v>
      </c>
      <c r="AE29" s="2940">
        <v>20000</v>
      </c>
      <c r="AF29" s="2940" t="s">
        <v>2817</v>
      </c>
      <c r="AG29" s="2940">
        <v>99504</v>
      </c>
      <c r="AH29" s="2940" t="s">
        <v>2817</v>
      </c>
      <c r="AI29" s="2940">
        <v>3846.14</v>
      </c>
      <c r="AJ29" s="2940" t="s">
        <v>2817</v>
      </c>
      <c r="AK29" s="2940">
        <v>11056</v>
      </c>
      <c r="AL29" s="2940" t="s">
        <v>2817</v>
      </c>
      <c r="AM29" s="2940" t="s">
        <v>2817</v>
      </c>
      <c r="AN29" s="2940" t="s">
        <v>2817</v>
      </c>
      <c r="AO29" s="2940" t="s">
        <v>3120</v>
      </c>
      <c r="AP29" s="2940" t="s">
        <v>2817</v>
      </c>
      <c r="AQ29" s="2940" t="s">
        <v>2817</v>
      </c>
      <c r="AR29" s="2940" t="s">
        <v>2817</v>
      </c>
    </row>
    <row r="30" spans="1:44" s="2940" customFormat="1">
      <c r="A30" s="2940" t="s">
        <v>3214</v>
      </c>
      <c r="B30" s="2940" t="s">
        <v>1947</v>
      </c>
      <c r="C30" s="2940" t="s">
        <v>3066</v>
      </c>
      <c r="D30" s="2940" t="s">
        <v>3067</v>
      </c>
      <c r="E30" s="2940" t="s">
        <v>2817</v>
      </c>
      <c r="F30" s="2940" t="s">
        <v>3206</v>
      </c>
      <c r="G30" s="2940" t="s">
        <v>3069</v>
      </c>
      <c r="H30" s="2940" t="s">
        <v>3215</v>
      </c>
      <c r="I30" s="2940" t="s">
        <v>3123</v>
      </c>
      <c r="J30" s="2940">
        <v>25362.89</v>
      </c>
      <c r="K30" s="2940">
        <v>230212.5</v>
      </c>
      <c r="L30" s="2940">
        <v>9.08</v>
      </c>
      <c r="M30" s="2940" t="s">
        <v>2817</v>
      </c>
      <c r="N30" s="2940" t="s">
        <v>2817</v>
      </c>
      <c r="O30" s="2940" t="s">
        <v>2817</v>
      </c>
      <c r="P30" s="2940" t="s">
        <v>2817</v>
      </c>
      <c r="Q30" s="2940" t="s">
        <v>2817</v>
      </c>
      <c r="R30" s="2940" t="s">
        <v>2817</v>
      </c>
      <c r="S30" s="2940" t="s">
        <v>2817</v>
      </c>
      <c r="T30" s="2940" t="s">
        <v>2817</v>
      </c>
      <c r="U30" s="2940" t="s">
        <v>2817</v>
      </c>
      <c r="V30" s="2940" t="s">
        <v>2817</v>
      </c>
      <c r="W30" s="2940" t="s">
        <v>3101</v>
      </c>
      <c r="X30" s="2940" t="s">
        <v>2817</v>
      </c>
      <c r="Y30" s="2940" t="s">
        <v>3216</v>
      </c>
      <c r="Z30" s="2940" t="s">
        <v>3216</v>
      </c>
      <c r="AA30" s="2940" t="s">
        <v>3217</v>
      </c>
      <c r="AB30" s="2940" t="s">
        <v>2817</v>
      </c>
      <c r="AC30" s="2940" t="s">
        <v>3078</v>
      </c>
      <c r="AD30" s="2940" t="s">
        <v>3218</v>
      </c>
      <c r="AE30" s="2940">
        <v>35000</v>
      </c>
      <c r="AF30" s="2940">
        <v>191800</v>
      </c>
      <c r="AG30" s="2940">
        <v>232744.79</v>
      </c>
      <c r="AH30" s="2940">
        <v>5041.49</v>
      </c>
      <c r="AI30" s="2940">
        <v>6117.73</v>
      </c>
      <c r="AJ30" s="2940">
        <v>8331.43</v>
      </c>
      <c r="AK30" s="2940">
        <v>10110</v>
      </c>
      <c r="AL30" s="2940" t="s">
        <v>2817</v>
      </c>
      <c r="AM30" s="2940" t="s">
        <v>2817</v>
      </c>
      <c r="AN30" s="2940">
        <v>21.35</v>
      </c>
      <c r="AO30" s="2940" t="s">
        <v>3204</v>
      </c>
      <c r="AP30" s="2940" t="s">
        <v>2817</v>
      </c>
      <c r="AQ30" s="2940" t="s">
        <v>2817</v>
      </c>
      <c r="AR30" s="2940" t="s">
        <v>2817</v>
      </c>
    </row>
    <row r="31" spans="1:44" s="2940" customFormat="1">
      <c r="A31" s="2940" t="s">
        <v>3219</v>
      </c>
      <c r="B31" s="2940" t="s">
        <v>1947</v>
      </c>
      <c r="C31" s="2940" t="s">
        <v>3066</v>
      </c>
      <c r="D31" s="2940" t="s">
        <v>3067</v>
      </c>
      <c r="E31" s="2940" t="s">
        <v>2817</v>
      </c>
      <c r="F31" s="2940" t="s">
        <v>3220</v>
      </c>
      <c r="G31" s="2940" t="s">
        <v>3069</v>
      </c>
      <c r="H31" s="2940" t="s">
        <v>3221</v>
      </c>
      <c r="I31" s="2940" t="s">
        <v>3222</v>
      </c>
      <c r="J31" s="2940">
        <v>15194.32</v>
      </c>
      <c r="K31" s="2940">
        <v>50000</v>
      </c>
      <c r="L31" s="2940">
        <v>3.29</v>
      </c>
      <c r="M31" s="2940" t="s">
        <v>2817</v>
      </c>
      <c r="N31" s="2940" t="s">
        <v>2817</v>
      </c>
      <c r="O31" s="2940" t="s">
        <v>2817</v>
      </c>
      <c r="P31" s="2940" t="s">
        <v>2817</v>
      </c>
      <c r="Q31" s="2940" t="s">
        <v>2817</v>
      </c>
      <c r="R31" s="2940" t="s">
        <v>2817</v>
      </c>
      <c r="S31" s="2940" t="s">
        <v>2817</v>
      </c>
      <c r="T31" s="2940" t="s">
        <v>2817</v>
      </c>
      <c r="U31" s="2940" t="s">
        <v>2817</v>
      </c>
      <c r="V31" s="2940" t="s">
        <v>2817</v>
      </c>
      <c r="W31" s="2940" t="s">
        <v>3101</v>
      </c>
      <c r="X31" s="2940" t="s">
        <v>2817</v>
      </c>
      <c r="Y31" s="2940" t="s">
        <v>3223</v>
      </c>
      <c r="Z31" s="2940" t="s">
        <v>3223</v>
      </c>
      <c r="AA31" s="2940" t="s">
        <v>3224</v>
      </c>
      <c r="AB31" s="2940" t="s">
        <v>2817</v>
      </c>
      <c r="AC31" s="2940" t="s">
        <v>3078</v>
      </c>
      <c r="AD31" s="2940" t="s">
        <v>3225</v>
      </c>
      <c r="AE31" s="2940" t="s">
        <v>2817</v>
      </c>
      <c r="AF31" s="2940">
        <v>62870</v>
      </c>
      <c r="AG31" s="2940">
        <v>65000</v>
      </c>
      <c r="AH31" s="2940">
        <v>2758.49</v>
      </c>
      <c r="AI31" s="2940">
        <v>2851.94</v>
      </c>
      <c r="AJ31" s="2940">
        <v>12574</v>
      </c>
      <c r="AK31" s="2940">
        <v>13000</v>
      </c>
      <c r="AL31" s="2940" t="s">
        <v>2817</v>
      </c>
      <c r="AM31" s="2940" t="s">
        <v>2817</v>
      </c>
      <c r="AN31" s="2940">
        <v>3.39</v>
      </c>
      <c r="AO31" s="2940" t="s">
        <v>3204</v>
      </c>
      <c r="AP31" s="2940" t="s">
        <v>2817</v>
      </c>
      <c r="AQ31" s="2940" t="s">
        <v>2817</v>
      </c>
      <c r="AR31" s="2940" t="s">
        <v>2817</v>
      </c>
    </row>
    <row r="32" spans="1:44" s="2940" customFormat="1">
      <c r="A32" s="2940" t="s">
        <v>3226</v>
      </c>
      <c r="B32" s="2940" t="s">
        <v>1947</v>
      </c>
      <c r="C32" s="2940" t="s">
        <v>3066</v>
      </c>
      <c r="D32" s="2940" t="s">
        <v>3067</v>
      </c>
      <c r="E32" s="2940" t="s">
        <v>2817</v>
      </c>
      <c r="F32" s="2940" t="s">
        <v>3206</v>
      </c>
      <c r="G32" s="2940" t="s">
        <v>3069</v>
      </c>
      <c r="H32" s="2940" t="s">
        <v>3227</v>
      </c>
      <c r="I32" s="2940" t="s">
        <v>3123</v>
      </c>
      <c r="J32" s="2940">
        <v>4800</v>
      </c>
      <c r="K32" s="2940">
        <v>40000</v>
      </c>
      <c r="L32" s="2940">
        <v>8.33</v>
      </c>
      <c r="M32" s="2940" t="s">
        <v>2817</v>
      </c>
      <c r="N32" s="2940" t="s">
        <v>2817</v>
      </c>
      <c r="O32" s="2940" t="s">
        <v>2817</v>
      </c>
      <c r="P32" s="2940" t="s">
        <v>2817</v>
      </c>
      <c r="Q32" s="2940" t="s">
        <v>2817</v>
      </c>
      <c r="R32" s="2940" t="s">
        <v>2817</v>
      </c>
      <c r="S32" s="2940" t="s">
        <v>2817</v>
      </c>
      <c r="T32" s="2940" t="s">
        <v>2817</v>
      </c>
      <c r="U32" s="2940" t="s">
        <v>2817</v>
      </c>
      <c r="V32" s="2940" t="s">
        <v>2817</v>
      </c>
      <c r="W32" s="2940" t="s">
        <v>3101</v>
      </c>
      <c r="X32" s="2940" t="s">
        <v>2817</v>
      </c>
      <c r="Y32" s="2940" t="s">
        <v>3228</v>
      </c>
      <c r="Z32" s="2940" t="s">
        <v>3228</v>
      </c>
      <c r="AA32" s="2940" t="s">
        <v>3228</v>
      </c>
      <c r="AB32" s="2940" t="s">
        <v>2817</v>
      </c>
      <c r="AC32" s="2940" t="s">
        <v>3078</v>
      </c>
      <c r="AD32" s="2940" t="s">
        <v>3229</v>
      </c>
      <c r="AE32" s="2940">
        <v>6000</v>
      </c>
      <c r="AF32" s="2940" t="s">
        <v>2817</v>
      </c>
      <c r="AG32" s="2940">
        <v>41600</v>
      </c>
      <c r="AH32" s="2940" t="s">
        <v>2817</v>
      </c>
      <c r="AI32" s="2940">
        <v>5777.78</v>
      </c>
      <c r="AJ32" s="2940" t="s">
        <v>2817</v>
      </c>
      <c r="AK32" s="2940">
        <v>10400</v>
      </c>
      <c r="AL32" s="2940" t="s">
        <v>2817</v>
      </c>
      <c r="AM32" s="2940" t="s">
        <v>2817</v>
      </c>
      <c r="AN32" s="2940" t="s">
        <v>2817</v>
      </c>
      <c r="AO32" s="2940" t="s">
        <v>3120</v>
      </c>
      <c r="AP32" s="2940" t="s">
        <v>2817</v>
      </c>
      <c r="AQ32" s="2940" t="s">
        <v>2817</v>
      </c>
      <c r="AR32" s="2940" t="s">
        <v>2817</v>
      </c>
    </row>
    <row r="33" spans="1:44" s="2940" customFormat="1">
      <c r="A33" s="2940" t="s">
        <v>3230</v>
      </c>
      <c r="B33" s="2940" t="s">
        <v>1947</v>
      </c>
      <c r="C33" s="2940" t="s">
        <v>3066</v>
      </c>
      <c r="D33" s="2940" t="s">
        <v>3067</v>
      </c>
      <c r="E33" s="2940" t="s">
        <v>2817</v>
      </c>
      <c r="F33" s="2940" t="s">
        <v>3206</v>
      </c>
      <c r="G33" s="2940" t="s">
        <v>3069</v>
      </c>
      <c r="H33" s="2940" t="s">
        <v>3231</v>
      </c>
      <c r="I33" s="2940" t="s">
        <v>3123</v>
      </c>
      <c r="J33" s="2940">
        <v>23474.97</v>
      </c>
      <c r="K33" s="2940">
        <v>143467</v>
      </c>
      <c r="L33" s="2940">
        <v>6.11</v>
      </c>
      <c r="M33" s="2940" t="s">
        <v>2817</v>
      </c>
      <c r="N33" s="2940" t="s">
        <v>2817</v>
      </c>
      <c r="O33" s="2940" t="s">
        <v>2817</v>
      </c>
      <c r="P33" s="2940" t="s">
        <v>2817</v>
      </c>
      <c r="Q33" s="2940" t="s">
        <v>2817</v>
      </c>
      <c r="R33" s="2940" t="s">
        <v>2817</v>
      </c>
      <c r="S33" s="2940" t="s">
        <v>2817</v>
      </c>
      <c r="T33" s="2940" t="s">
        <v>2817</v>
      </c>
      <c r="U33" s="2940" t="s">
        <v>2817</v>
      </c>
      <c r="V33" s="2940" t="s">
        <v>2817</v>
      </c>
      <c r="W33" s="2940" t="s">
        <v>3101</v>
      </c>
      <c r="X33" s="2940" t="s">
        <v>2817</v>
      </c>
      <c r="Y33" s="2940" t="s">
        <v>3228</v>
      </c>
      <c r="Z33" s="2940" t="s">
        <v>3228</v>
      </c>
      <c r="AA33" s="2940" t="s">
        <v>3228</v>
      </c>
      <c r="AB33" s="2940" t="s">
        <v>2817</v>
      </c>
      <c r="AC33" s="2940" t="s">
        <v>3078</v>
      </c>
      <c r="AD33" s="2940" t="s">
        <v>3232</v>
      </c>
      <c r="AE33" s="2940">
        <v>21600</v>
      </c>
      <c r="AF33" s="2940" t="s">
        <v>2817</v>
      </c>
      <c r="AG33" s="2940">
        <v>145011</v>
      </c>
      <c r="AH33" s="2940" t="s">
        <v>2817</v>
      </c>
      <c r="AI33" s="2940">
        <v>4118.17</v>
      </c>
      <c r="AJ33" s="2940" t="s">
        <v>2817</v>
      </c>
      <c r="AK33" s="2940">
        <v>10107.620000000001</v>
      </c>
      <c r="AL33" s="2940" t="s">
        <v>2817</v>
      </c>
      <c r="AM33" s="2940" t="s">
        <v>2817</v>
      </c>
      <c r="AN33" s="2940" t="s">
        <v>2817</v>
      </c>
      <c r="AO33" s="2940" t="s">
        <v>3120</v>
      </c>
      <c r="AP33" s="2940" t="s">
        <v>2817</v>
      </c>
      <c r="AQ33" s="2940" t="s">
        <v>2817</v>
      </c>
      <c r="AR33" s="2940" t="s">
        <v>2817</v>
      </c>
    </row>
    <row r="34" spans="1:44" s="2940" customFormat="1">
      <c r="A34" s="2940" t="s">
        <v>3233</v>
      </c>
      <c r="B34" s="2940" t="s">
        <v>1947</v>
      </c>
      <c r="C34" s="2940" t="s">
        <v>3066</v>
      </c>
      <c r="D34" s="2940" t="s">
        <v>3067</v>
      </c>
      <c r="E34" s="2940" t="s">
        <v>2817</v>
      </c>
      <c r="F34" s="2940" t="s">
        <v>3234</v>
      </c>
      <c r="G34" s="2940" t="s">
        <v>3069</v>
      </c>
      <c r="H34" s="2940" t="s">
        <v>3235</v>
      </c>
      <c r="I34" s="2940" t="s">
        <v>3123</v>
      </c>
      <c r="J34" s="2940">
        <v>41620.14</v>
      </c>
      <c r="K34" s="2940">
        <v>166481</v>
      </c>
      <c r="L34" s="2940">
        <v>4</v>
      </c>
      <c r="M34" s="2940" t="s">
        <v>2817</v>
      </c>
      <c r="N34" s="2940" t="s">
        <v>2817</v>
      </c>
      <c r="O34" s="2940" t="s">
        <v>2817</v>
      </c>
      <c r="P34" s="2940" t="s">
        <v>2817</v>
      </c>
      <c r="Q34" s="2940" t="s">
        <v>2817</v>
      </c>
      <c r="R34" s="2940" t="s">
        <v>2817</v>
      </c>
      <c r="S34" s="2940" t="s">
        <v>2817</v>
      </c>
      <c r="T34" s="2940" t="s">
        <v>2817</v>
      </c>
      <c r="U34" s="2940" t="s">
        <v>2817</v>
      </c>
      <c r="V34" s="2940" t="s">
        <v>2817</v>
      </c>
      <c r="W34" s="2940" t="s">
        <v>3101</v>
      </c>
      <c r="X34" s="2940" t="s">
        <v>2817</v>
      </c>
      <c r="Y34" s="2940" t="s">
        <v>3236</v>
      </c>
      <c r="Z34" s="2940" t="s">
        <v>3236</v>
      </c>
      <c r="AA34" s="2940" t="s">
        <v>3236</v>
      </c>
      <c r="AB34" s="2940" t="s">
        <v>2817</v>
      </c>
      <c r="AC34" s="2940" t="s">
        <v>3078</v>
      </c>
      <c r="AD34" s="2940" t="s">
        <v>3237</v>
      </c>
      <c r="AE34" s="2940">
        <v>16500</v>
      </c>
      <c r="AF34" s="2940" t="s">
        <v>2817</v>
      </c>
      <c r="AG34" s="2940">
        <v>113207.1</v>
      </c>
      <c r="AH34" s="2940" t="s">
        <v>2817</v>
      </c>
      <c r="AI34" s="2940">
        <v>1813.34</v>
      </c>
      <c r="AJ34" s="2940" t="s">
        <v>2817</v>
      </c>
      <c r="AK34" s="2940">
        <v>6800</v>
      </c>
      <c r="AL34" s="2940" t="s">
        <v>2817</v>
      </c>
      <c r="AM34" s="2940" t="s">
        <v>2817</v>
      </c>
      <c r="AN34" s="2940" t="s">
        <v>2817</v>
      </c>
      <c r="AO34" s="2940" t="s">
        <v>3120</v>
      </c>
      <c r="AP34" s="2940" t="s">
        <v>2817</v>
      </c>
      <c r="AQ34" s="2940" t="s">
        <v>2817</v>
      </c>
      <c r="AR34" s="2940" t="s">
        <v>2817</v>
      </c>
    </row>
    <row r="35" spans="1:44" s="2940" customFormat="1">
      <c r="A35" s="2940" t="s">
        <v>3238</v>
      </c>
      <c r="B35" s="2940" t="s">
        <v>1947</v>
      </c>
      <c r="C35" s="2940" t="s">
        <v>3066</v>
      </c>
      <c r="D35" s="2940" t="s">
        <v>3067</v>
      </c>
      <c r="E35" s="2940" t="s">
        <v>2817</v>
      </c>
      <c r="F35" s="2940" t="s">
        <v>3239</v>
      </c>
      <c r="G35" s="2940" t="s">
        <v>3082</v>
      </c>
      <c r="H35" s="2940" t="s">
        <v>3240</v>
      </c>
      <c r="I35" s="2940" t="s">
        <v>3241</v>
      </c>
      <c r="J35" s="2940">
        <v>3750</v>
      </c>
      <c r="K35" s="2940">
        <v>15000</v>
      </c>
      <c r="L35" s="2940">
        <v>4</v>
      </c>
      <c r="M35" s="2940" t="s">
        <v>2817</v>
      </c>
      <c r="N35" s="2940" t="s">
        <v>2817</v>
      </c>
      <c r="O35" s="2940" t="s">
        <v>2817</v>
      </c>
      <c r="P35" s="2940" t="s">
        <v>2817</v>
      </c>
      <c r="Q35" s="2940" t="s">
        <v>2817</v>
      </c>
      <c r="R35" s="2940" t="s">
        <v>2817</v>
      </c>
      <c r="S35" s="2940" t="s">
        <v>2817</v>
      </c>
      <c r="T35" s="2940" t="s">
        <v>2817</v>
      </c>
      <c r="U35" s="2940" t="s">
        <v>2817</v>
      </c>
      <c r="V35" s="2940" t="s">
        <v>2817</v>
      </c>
      <c r="W35" s="2940" t="s">
        <v>3101</v>
      </c>
      <c r="X35" s="2940" t="s">
        <v>2817</v>
      </c>
      <c r="Y35" s="2940" t="s">
        <v>3242</v>
      </c>
      <c r="Z35" s="2940" t="s">
        <v>3243</v>
      </c>
      <c r="AA35" s="2940" t="s">
        <v>3243</v>
      </c>
      <c r="AB35" s="2940" t="s">
        <v>2817</v>
      </c>
      <c r="AC35" s="2940" t="s">
        <v>3078</v>
      </c>
      <c r="AD35" s="2940" t="s">
        <v>3244</v>
      </c>
      <c r="AE35" s="2940">
        <v>1700</v>
      </c>
      <c r="AF35" s="2940">
        <v>10913</v>
      </c>
      <c r="AG35" s="2940">
        <v>10913</v>
      </c>
      <c r="AH35" s="2940">
        <v>1940.09</v>
      </c>
      <c r="AI35" s="2940">
        <v>1940.09</v>
      </c>
      <c r="AJ35" s="2940">
        <v>7275.33</v>
      </c>
      <c r="AK35" s="2940">
        <v>7275.32</v>
      </c>
      <c r="AL35" s="2940" t="s">
        <v>2817</v>
      </c>
      <c r="AM35" s="2940" t="s">
        <v>2817</v>
      </c>
      <c r="AN35" s="2940">
        <v>0</v>
      </c>
      <c r="AO35" s="2940" t="s">
        <v>3120</v>
      </c>
      <c r="AP35" s="2940" t="s">
        <v>2817</v>
      </c>
      <c r="AQ35" s="2940" t="s">
        <v>2817</v>
      </c>
      <c r="AR35" s="2940" t="s">
        <v>2817</v>
      </c>
    </row>
    <row r="36" spans="1:44" s="2940" customFormat="1">
      <c r="A36" s="2940" t="s">
        <v>3245</v>
      </c>
      <c r="B36" s="2940" t="s">
        <v>1947</v>
      </c>
      <c r="C36" s="2940" t="s">
        <v>3066</v>
      </c>
      <c r="D36" s="2940" t="s">
        <v>3067</v>
      </c>
      <c r="E36" s="2940" t="s">
        <v>2817</v>
      </c>
      <c r="F36" s="2940" t="s">
        <v>3234</v>
      </c>
      <c r="G36" s="2940" t="s">
        <v>3082</v>
      </c>
      <c r="H36" s="2940" t="s">
        <v>3246</v>
      </c>
      <c r="I36" s="2940" t="s">
        <v>3123</v>
      </c>
      <c r="J36" s="2940">
        <v>31141.83</v>
      </c>
      <c r="K36" s="2940">
        <v>139715</v>
      </c>
      <c r="L36" s="2940">
        <v>4.49</v>
      </c>
      <c r="M36" s="2940" t="s">
        <v>2817</v>
      </c>
      <c r="N36" s="2940" t="s">
        <v>2817</v>
      </c>
      <c r="O36" s="2940" t="s">
        <v>2817</v>
      </c>
      <c r="P36" s="2940" t="s">
        <v>2817</v>
      </c>
      <c r="Q36" s="2940" t="s">
        <v>2817</v>
      </c>
      <c r="R36" s="2940" t="s">
        <v>2817</v>
      </c>
      <c r="S36" s="2940" t="s">
        <v>2817</v>
      </c>
      <c r="T36" s="2940" t="s">
        <v>2817</v>
      </c>
      <c r="U36" s="2940" t="s">
        <v>2817</v>
      </c>
      <c r="V36" s="2940" t="s">
        <v>2817</v>
      </c>
      <c r="W36" s="2940" t="s">
        <v>3101</v>
      </c>
      <c r="X36" s="2940" t="s">
        <v>2817</v>
      </c>
      <c r="Y36" s="2940" t="s">
        <v>3242</v>
      </c>
      <c r="Z36" s="2940" t="s">
        <v>3243</v>
      </c>
      <c r="AA36" s="2940" t="s">
        <v>3243</v>
      </c>
      <c r="AB36" s="2940" t="s">
        <v>2817</v>
      </c>
      <c r="AC36" s="2940" t="s">
        <v>3078</v>
      </c>
      <c r="AD36" s="2940" t="s">
        <v>3247</v>
      </c>
      <c r="AE36" s="2940">
        <v>13600</v>
      </c>
      <c r="AF36" s="2940">
        <v>90815</v>
      </c>
      <c r="AG36" s="2940">
        <v>92400</v>
      </c>
      <c r="AH36" s="2940">
        <v>1944.12</v>
      </c>
      <c r="AI36" s="2940">
        <v>1978.05</v>
      </c>
      <c r="AJ36" s="2940">
        <v>6500.01</v>
      </c>
      <c r="AK36" s="2940">
        <v>6613.46</v>
      </c>
      <c r="AL36" s="2940" t="s">
        <v>2817</v>
      </c>
      <c r="AM36" s="2940" t="s">
        <v>2817</v>
      </c>
      <c r="AN36" s="2940">
        <v>1.75</v>
      </c>
      <c r="AO36" s="2940" t="s">
        <v>3120</v>
      </c>
      <c r="AP36" s="2940" t="s">
        <v>2817</v>
      </c>
      <c r="AQ36" s="2940" t="s">
        <v>2817</v>
      </c>
      <c r="AR36" s="2940" t="s">
        <v>2817</v>
      </c>
    </row>
    <row r="37" spans="1:44" s="2940" customFormat="1">
      <c r="A37" s="2940" t="s">
        <v>3248</v>
      </c>
      <c r="B37" s="2940" t="s">
        <v>1947</v>
      </c>
      <c r="C37" s="2940" t="s">
        <v>3066</v>
      </c>
      <c r="D37" s="2940" t="s">
        <v>3067</v>
      </c>
      <c r="E37" s="2940" t="s">
        <v>2817</v>
      </c>
      <c r="F37" s="2940" t="s">
        <v>3249</v>
      </c>
      <c r="G37" s="2940" t="s">
        <v>3082</v>
      </c>
      <c r="H37" s="2940" t="s">
        <v>3250</v>
      </c>
      <c r="I37" s="2940" t="s">
        <v>3251</v>
      </c>
      <c r="J37" s="2940">
        <v>15498.71</v>
      </c>
      <c r="K37" s="2940">
        <v>112191</v>
      </c>
      <c r="L37" s="2940">
        <v>7.24</v>
      </c>
      <c r="M37" s="2940" t="s">
        <v>2817</v>
      </c>
      <c r="N37" s="2940" t="s">
        <v>2817</v>
      </c>
      <c r="O37" s="2940" t="s">
        <v>2817</v>
      </c>
      <c r="P37" s="2940" t="s">
        <v>2817</v>
      </c>
      <c r="Q37" s="2940" t="s">
        <v>2817</v>
      </c>
      <c r="R37" s="2940" t="s">
        <v>2817</v>
      </c>
      <c r="S37" s="2940" t="s">
        <v>2817</v>
      </c>
      <c r="T37" s="2940" t="s">
        <v>2817</v>
      </c>
      <c r="U37" s="2940" t="s">
        <v>2817</v>
      </c>
      <c r="V37" s="2940" t="s">
        <v>2817</v>
      </c>
      <c r="W37" s="2940" t="s">
        <v>3101</v>
      </c>
      <c r="X37" s="2940" t="s">
        <v>2817</v>
      </c>
      <c r="Y37" s="2940" t="s">
        <v>3252</v>
      </c>
      <c r="Z37" s="2940" t="s">
        <v>3253</v>
      </c>
      <c r="AA37" s="2940" t="s">
        <v>3253</v>
      </c>
      <c r="AB37" s="2940" t="s">
        <v>2817</v>
      </c>
      <c r="AC37" s="2940" t="s">
        <v>3078</v>
      </c>
      <c r="AD37" s="2940" t="s">
        <v>3254</v>
      </c>
      <c r="AE37" s="2940">
        <v>17000</v>
      </c>
      <c r="AF37" s="2940">
        <v>112191</v>
      </c>
      <c r="AG37" s="2940">
        <v>147000</v>
      </c>
      <c r="AH37" s="2940">
        <v>4825.82</v>
      </c>
      <c r="AI37" s="2940">
        <v>6323.11</v>
      </c>
      <c r="AJ37" s="2940">
        <v>10000</v>
      </c>
      <c r="AK37" s="2940">
        <v>13102.65</v>
      </c>
      <c r="AL37" s="2940" t="s">
        <v>2817</v>
      </c>
      <c r="AM37" s="2940" t="s">
        <v>2817</v>
      </c>
      <c r="AN37" s="2940">
        <v>31.03</v>
      </c>
      <c r="AO37" s="2940" t="s">
        <v>3120</v>
      </c>
      <c r="AP37" s="2940" t="s">
        <v>2817</v>
      </c>
      <c r="AQ37" s="2940" t="s">
        <v>2817</v>
      </c>
      <c r="AR37" s="2940" t="s">
        <v>2817</v>
      </c>
    </row>
    <row r="38" spans="1:44" s="2940" customFormat="1">
      <c r="A38" s="2940" t="s">
        <v>3255</v>
      </c>
      <c r="B38" s="2940" t="s">
        <v>1947</v>
      </c>
      <c r="C38" s="2940" t="s">
        <v>3066</v>
      </c>
      <c r="D38" s="2940" t="s">
        <v>3067</v>
      </c>
      <c r="E38" s="2940" t="s">
        <v>2817</v>
      </c>
      <c r="F38" s="2940" t="s">
        <v>3256</v>
      </c>
      <c r="G38" s="2940" t="s">
        <v>3082</v>
      </c>
      <c r="H38" s="2940" t="s">
        <v>3257</v>
      </c>
      <c r="I38" s="2940" t="s">
        <v>3155</v>
      </c>
      <c r="J38" s="2940">
        <v>4141</v>
      </c>
      <c r="K38" s="2940">
        <v>12423</v>
      </c>
      <c r="L38" s="2940">
        <v>3</v>
      </c>
      <c r="M38" s="2940" t="s">
        <v>2817</v>
      </c>
      <c r="N38" s="2940" t="s">
        <v>2817</v>
      </c>
      <c r="O38" s="2940" t="s">
        <v>2817</v>
      </c>
      <c r="P38" s="2940" t="s">
        <v>2817</v>
      </c>
      <c r="Q38" s="2940" t="s">
        <v>2817</v>
      </c>
      <c r="R38" s="2940" t="s">
        <v>2817</v>
      </c>
      <c r="S38" s="2940" t="s">
        <v>2817</v>
      </c>
      <c r="T38" s="2940" t="s">
        <v>2817</v>
      </c>
      <c r="U38" s="2940" t="s">
        <v>2817</v>
      </c>
      <c r="V38" s="2940" t="s">
        <v>2817</v>
      </c>
      <c r="W38" s="2940" t="s">
        <v>3101</v>
      </c>
      <c r="X38" s="2940" t="s">
        <v>2817</v>
      </c>
      <c r="Y38" s="2940" t="s">
        <v>3258</v>
      </c>
      <c r="Z38" s="2940" t="s">
        <v>3259</v>
      </c>
      <c r="AA38" s="2940" t="s">
        <v>3259</v>
      </c>
      <c r="AB38" s="2940" t="s">
        <v>2817</v>
      </c>
      <c r="AC38" s="2940" t="s">
        <v>3078</v>
      </c>
      <c r="AD38" s="2940" t="s">
        <v>3260</v>
      </c>
      <c r="AE38" s="2940" t="s">
        <v>2817</v>
      </c>
      <c r="AF38" s="2940">
        <v>7000</v>
      </c>
      <c r="AG38" s="2940">
        <v>15400</v>
      </c>
      <c r="AH38" s="2940">
        <v>1126.94</v>
      </c>
      <c r="AI38" s="2940">
        <v>2479.27</v>
      </c>
      <c r="AJ38" s="2940">
        <v>5634.71</v>
      </c>
      <c r="AK38" s="2940">
        <v>12396.36</v>
      </c>
      <c r="AL38" s="2940" t="s">
        <v>2817</v>
      </c>
      <c r="AM38" s="2940" t="s">
        <v>2817</v>
      </c>
      <c r="AN38" s="2940">
        <v>120</v>
      </c>
      <c r="AO38" s="2940" t="s">
        <v>3261</v>
      </c>
      <c r="AP38" s="2940" t="s">
        <v>2817</v>
      </c>
      <c r="AQ38" s="2940" t="s">
        <v>2817</v>
      </c>
      <c r="AR38" s="2940" t="s">
        <v>2817</v>
      </c>
    </row>
    <row r="39" spans="1:44" s="2940" customFormat="1">
      <c r="A39" s="2940" t="s">
        <v>3262</v>
      </c>
      <c r="B39" s="2940" t="s">
        <v>1947</v>
      </c>
      <c r="C39" s="2940" t="s">
        <v>3066</v>
      </c>
      <c r="D39" s="2940" t="s">
        <v>3067</v>
      </c>
      <c r="E39" s="2940" t="s">
        <v>2817</v>
      </c>
      <c r="F39" s="2940" t="s">
        <v>3263</v>
      </c>
      <c r="G39" s="2940" t="s">
        <v>3082</v>
      </c>
      <c r="H39" s="2940" t="s">
        <v>3264</v>
      </c>
      <c r="I39" s="2940" t="s">
        <v>3251</v>
      </c>
      <c r="J39" s="2940">
        <v>9400</v>
      </c>
      <c r="K39" s="2940">
        <v>56400</v>
      </c>
      <c r="L39" s="2940">
        <v>6</v>
      </c>
      <c r="M39" s="2940" t="s">
        <v>2817</v>
      </c>
      <c r="N39" s="2940" t="s">
        <v>2817</v>
      </c>
      <c r="O39" s="2940" t="s">
        <v>2817</v>
      </c>
      <c r="P39" s="2940" t="s">
        <v>2817</v>
      </c>
      <c r="Q39" s="2940" t="s">
        <v>2817</v>
      </c>
      <c r="R39" s="2940" t="s">
        <v>2817</v>
      </c>
      <c r="S39" s="2940" t="s">
        <v>2817</v>
      </c>
      <c r="T39" s="2940" t="s">
        <v>2817</v>
      </c>
      <c r="U39" s="2940" t="s">
        <v>2817</v>
      </c>
      <c r="V39" s="2940" t="s">
        <v>2817</v>
      </c>
      <c r="W39" s="2940" t="s">
        <v>3101</v>
      </c>
      <c r="X39" s="2940" t="s">
        <v>2817</v>
      </c>
      <c r="Y39" s="2940" t="s">
        <v>3252</v>
      </c>
      <c r="Z39" s="2940" t="s">
        <v>3265</v>
      </c>
      <c r="AA39" s="2940" t="s">
        <v>3266</v>
      </c>
      <c r="AB39" s="2940" t="s">
        <v>2817</v>
      </c>
      <c r="AC39" s="2940" t="s">
        <v>3078</v>
      </c>
      <c r="AD39" s="2940" t="s">
        <v>3267</v>
      </c>
      <c r="AE39" s="2940">
        <v>8500</v>
      </c>
      <c r="AF39" s="2940">
        <v>56400</v>
      </c>
      <c r="AG39" s="2940">
        <v>91000</v>
      </c>
      <c r="AH39" s="2940">
        <v>4000</v>
      </c>
      <c r="AI39" s="2940">
        <v>6453.9</v>
      </c>
      <c r="AJ39" s="2940">
        <v>10000</v>
      </c>
      <c r="AK39" s="2940">
        <v>16134.75</v>
      </c>
      <c r="AL39" s="2940" t="s">
        <v>2817</v>
      </c>
      <c r="AM39" s="2940" t="s">
        <v>2817</v>
      </c>
      <c r="AN39" s="2940">
        <v>61.35</v>
      </c>
      <c r="AO39" s="2940" t="s">
        <v>3120</v>
      </c>
      <c r="AP39" s="2940" t="s">
        <v>2817</v>
      </c>
      <c r="AQ39" s="2940" t="s">
        <v>2817</v>
      </c>
      <c r="AR39" s="2940" t="s">
        <v>2817</v>
      </c>
    </row>
    <row r="40" spans="1:44" s="2940" customFormat="1">
      <c r="A40" s="2940" t="s">
        <v>3268</v>
      </c>
      <c r="B40" s="2940" t="s">
        <v>1947</v>
      </c>
      <c r="C40" s="2940" t="s">
        <v>3066</v>
      </c>
      <c r="D40" s="2940" t="s">
        <v>3067</v>
      </c>
      <c r="E40" s="2940" t="s">
        <v>2817</v>
      </c>
      <c r="F40" s="2940" t="s">
        <v>3269</v>
      </c>
      <c r="G40" s="2940" t="s">
        <v>3082</v>
      </c>
      <c r="H40" s="2940" t="s">
        <v>3270</v>
      </c>
      <c r="I40" s="2940" t="s">
        <v>3251</v>
      </c>
      <c r="J40" s="2940">
        <v>12369.96</v>
      </c>
      <c r="K40" s="2940">
        <v>61850</v>
      </c>
      <c r="L40" s="2940">
        <v>5</v>
      </c>
      <c r="M40" s="2940" t="s">
        <v>2817</v>
      </c>
      <c r="N40" s="2940" t="s">
        <v>2817</v>
      </c>
      <c r="O40" s="2940" t="s">
        <v>2817</v>
      </c>
      <c r="P40" s="2940" t="s">
        <v>2817</v>
      </c>
      <c r="Q40" s="2940" t="s">
        <v>2817</v>
      </c>
      <c r="R40" s="2940" t="s">
        <v>2817</v>
      </c>
      <c r="S40" s="2940" t="s">
        <v>2817</v>
      </c>
      <c r="T40" s="2940" t="s">
        <v>2817</v>
      </c>
      <c r="U40" s="2940" t="s">
        <v>2817</v>
      </c>
      <c r="V40" s="2940" t="s">
        <v>2817</v>
      </c>
      <c r="W40" s="2940" t="s">
        <v>3101</v>
      </c>
      <c r="X40" s="2940" t="s">
        <v>2817</v>
      </c>
      <c r="Y40" s="2940" t="s">
        <v>3252</v>
      </c>
      <c r="Z40" s="2940" t="s">
        <v>3265</v>
      </c>
      <c r="AA40" s="2940" t="s">
        <v>3266</v>
      </c>
      <c r="AB40" s="2940" t="s">
        <v>2817</v>
      </c>
      <c r="AC40" s="2940" t="s">
        <v>3078</v>
      </c>
      <c r="AD40" s="2940" t="s">
        <v>3271</v>
      </c>
      <c r="AE40" s="2940">
        <v>9300</v>
      </c>
      <c r="AF40" s="2940">
        <v>61850</v>
      </c>
      <c r="AG40" s="2940">
        <v>100000</v>
      </c>
      <c r="AH40" s="2940">
        <v>3333.34</v>
      </c>
      <c r="AI40" s="2940">
        <v>5389.4</v>
      </c>
      <c r="AJ40" s="2940">
        <v>10000</v>
      </c>
      <c r="AK40" s="2940">
        <v>16168.14</v>
      </c>
      <c r="AL40" s="2940" t="s">
        <v>2817</v>
      </c>
      <c r="AM40" s="2940" t="s">
        <v>2817</v>
      </c>
      <c r="AN40" s="2940">
        <v>61.68</v>
      </c>
      <c r="AO40" s="2940" t="s">
        <v>3120</v>
      </c>
      <c r="AP40" s="2940" t="s">
        <v>2817</v>
      </c>
      <c r="AQ40" s="2940" t="s">
        <v>2817</v>
      </c>
      <c r="AR40" s="2940" t="s">
        <v>2817</v>
      </c>
    </row>
    <row r="41" spans="1:44" s="2940" customFormat="1">
      <c r="A41" s="2940" t="s">
        <v>3272</v>
      </c>
      <c r="B41" s="2940" t="s">
        <v>1947</v>
      </c>
      <c r="C41" s="2940" t="s">
        <v>3066</v>
      </c>
      <c r="D41" s="2940" t="s">
        <v>3067</v>
      </c>
      <c r="E41" s="2940" t="s">
        <v>2817</v>
      </c>
      <c r="F41" s="2940" t="s">
        <v>3099</v>
      </c>
      <c r="G41" s="2940" t="s">
        <v>3069</v>
      </c>
      <c r="H41" s="2940" t="s">
        <v>3273</v>
      </c>
      <c r="I41" s="2940" t="s">
        <v>3123</v>
      </c>
      <c r="J41" s="2940">
        <v>42703.48</v>
      </c>
      <c r="K41" s="2940">
        <v>170814</v>
      </c>
      <c r="L41" s="2940">
        <v>4</v>
      </c>
      <c r="M41" s="2940" t="s">
        <v>2817</v>
      </c>
      <c r="N41" s="2940" t="s">
        <v>2817</v>
      </c>
      <c r="O41" s="2940" t="s">
        <v>2817</v>
      </c>
      <c r="P41" s="2940" t="s">
        <v>2817</v>
      </c>
      <c r="Q41" s="2940" t="s">
        <v>2817</v>
      </c>
      <c r="R41" s="2940" t="s">
        <v>2817</v>
      </c>
      <c r="S41" s="2940" t="s">
        <v>2817</v>
      </c>
      <c r="T41" s="2940" t="s">
        <v>2817</v>
      </c>
      <c r="U41" s="2940" t="s">
        <v>2817</v>
      </c>
      <c r="V41" s="2940" t="s">
        <v>2817</v>
      </c>
      <c r="W41" s="2940" t="s">
        <v>3101</v>
      </c>
      <c r="X41" s="2940" t="s">
        <v>2817</v>
      </c>
      <c r="Y41" s="2940" t="s">
        <v>3274</v>
      </c>
      <c r="Z41" s="2940" t="s">
        <v>3274</v>
      </c>
      <c r="AA41" s="2940" t="s">
        <v>3275</v>
      </c>
      <c r="AB41" s="2940" t="s">
        <v>2817</v>
      </c>
      <c r="AC41" s="2940" t="s">
        <v>3078</v>
      </c>
      <c r="AD41" s="2940" t="s">
        <v>3276</v>
      </c>
      <c r="AE41" s="2940" t="s">
        <v>2817</v>
      </c>
      <c r="AF41" s="2940">
        <v>93948</v>
      </c>
      <c r="AG41" s="2940">
        <v>102830</v>
      </c>
      <c r="AH41" s="2940">
        <v>1466.67</v>
      </c>
      <c r="AI41" s="2940">
        <v>1605.33</v>
      </c>
      <c r="AJ41" s="2940">
        <v>5500.01</v>
      </c>
      <c r="AK41" s="2940">
        <v>6020</v>
      </c>
      <c r="AL41" s="2940" t="s">
        <v>2817</v>
      </c>
      <c r="AM41" s="2940" t="s">
        <v>2817</v>
      </c>
      <c r="AN41" s="2940">
        <v>9.4499999999999993</v>
      </c>
      <c r="AO41" s="2940" t="s">
        <v>3277</v>
      </c>
      <c r="AP41" s="2940" t="s">
        <v>2817</v>
      </c>
      <c r="AQ41" s="2940" t="s">
        <v>2817</v>
      </c>
      <c r="AR41" s="2940" t="s">
        <v>2817</v>
      </c>
    </row>
    <row r="42" spans="1:44" s="2940" customFormat="1">
      <c r="A42" s="2940" t="s">
        <v>3278</v>
      </c>
      <c r="B42" s="2940" t="s">
        <v>1947</v>
      </c>
      <c r="C42" s="2940" t="s">
        <v>3066</v>
      </c>
      <c r="D42" s="2940" t="s">
        <v>3067</v>
      </c>
      <c r="E42" s="2940" t="s">
        <v>2817</v>
      </c>
      <c r="F42" s="2940" t="s">
        <v>3279</v>
      </c>
      <c r="G42" s="2940" t="s">
        <v>3069</v>
      </c>
      <c r="H42" s="2940" t="s">
        <v>3280</v>
      </c>
      <c r="I42" s="2940" t="s">
        <v>3281</v>
      </c>
      <c r="J42" s="2940">
        <v>27616.97</v>
      </c>
      <c r="K42" s="2940">
        <v>152020</v>
      </c>
      <c r="L42" s="2940">
        <v>5.5</v>
      </c>
      <c r="M42" s="2940" t="s">
        <v>2817</v>
      </c>
      <c r="N42" s="2940" t="s">
        <v>2817</v>
      </c>
      <c r="O42" s="2940" t="s">
        <v>2817</v>
      </c>
      <c r="P42" s="2940" t="s">
        <v>2817</v>
      </c>
      <c r="Q42" s="2940" t="s">
        <v>2817</v>
      </c>
      <c r="R42" s="2940" t="s">
        <v>2817</v>
      </c>
      <c r="S42" s="2940" t="s">
        <v>2817</v>
      </c>
      <c r="T42" s="2940" t="s">
        <v>2817</v>
      </c>
      <c r="U42" s="2940" t="s">
        <v>2817</v>
      </c>
      <c r="V42" s="2940" t="s">
        <v>2817</v>
      </c>
      <c r="W42" s="2940" t="s">
        <v>3101</v>
      </c>
      <c r="X42" s="2940" t="s">
        <v>2817</v>
      </c>
      <c r="Y42" s="2940" t="s">
        <v>3274</v>
      </c>
      <c r="Z42" s="2940" t="s">
        <v>3274</v>
      </c>
      <c r="AA42" s="2940" t="s">
        <v>3275</v>
      </c>
      <c r="AB42" s="2940" t="s">
        <v>2817</v>
      </c>
      <c r="AC42" s="2940" t="s">
        <v>3078</v>
      </c>
      <c r="AD42" s="2940" t="s">
        <v>3282</v>
      </c>
      <c r="AE42" s="2940" t="s">
        <v>2817</v>
      </c>
      <c r="AF42" s="2940">
        <v>83611</v>
      </c>
      <c r="AG42" s="2940">
        <v>99800</v>
      </c>
      <c r="AH42" s="2940">
        <v>2018.35</v>
      </c>
      <c r="AI42" s="2940">
        <v>2409.15</v>
      </c>
      <c r="AJ42" s="2940">
        <v>5500</v>
      </c>
      <c r="AK42" s="2940">
        <v>6564.93</v>
      </c>
      <c r="AL42" s="2940" t="s">
        <v>2817</v>
      </c>
      <c r="AM42" s="2940" t="s">
        <v>2817</v>
      </c>
      <c r="AN42" s="2940">
        <v>19.36</v>
      </c>
      <c r="AO42" s="2940" t="s">
        <v>3277</v>
      </c>
      <c r="AP42" s="2940" t="s">
        <v>2817</v>
      </c>
      <c r="AQ42" s="2940" t="s">
        <v>2817</v>
      </c>
      <c r="AR42" s="2940" t="s">
        <v>2817</v>
      </c>
    </row>
    <row r="43" spans="1:44" s="2940" customFormat="1">
      <c r="A43" s="2940" t="s">
        <v>3283</v>
      </c>
      <c r="B43" s="2940" t="s">
        <v>1947</v>
      </c>
      <c r="C43" s="2940" t="s">
        <v>3066</v>
      </c>
      <c r="D43" s="2940" t="s">
        <v>3067</v>
      </c>
      <c r="E43" s="2940" t="s">
        <v>2817</v>
      </c>
      <c r="F43" s="2940" t="s">
        <v>3099</v>
      </c>
      <c r="G43" s="2940" t="s">
        <v>3069</v>
      </c>
      <c r="H43" s="2940" t="s">
        <v>3284</v>
      </c>
      <c r="I43" s="2940" t="s">
        <v>3123</v>
      </c>
      <c r="J43" s="2940">
        <v>42611.07</v>
      </c>
      <c r="K43" s="2940">
        <v>170444</v>
      </c>
      <c r="L43" s="2940">
        <v>4</v>
      </c>
      <c r="M43" s="2940" t="s">
        <v>2817</v>
      </c>
      <c r="N43" s="2940" t="s">
        <v>2817</v>
      </c>
      <c r="O43" s="2940" t="s">
        <v>2817</v>
      </c>
      <c r="P43" s="2940" t="s">
        <v>2817</v>
      </c>
      <c r="Q43" s="2940" t="s">
        <v>2817</v>
      </c>
      <c r="R43" s="2940" t="s">
        <v>2817</v>
      </c>
      <c r="S43" s="2940" t="s">
        <v>2817</v>
      </c>
      <c r="T43" s="2940" t="s">
        <v>2817</v>
      </c>
      <c r="U43" s="2940" t="s">
        <v>2817</v>
      </c>
      <c r="V43" s="2940" t="s">
        <v>2817</v>
      </c>
      <c r="W43" s="2940" t="s">
        <v>3101</v>
      </c>
      <c r="X43" s="2940" t="s">
        <v>2817</v>
      </c>
      <c r="Y43" s="2940" t="s">
        <v>3274</v>
      </c>
      <c r="Z43" s="2940" t="s">
        <v>3274</v>
      </c>
      <c r="AA43" s="2940" t="s">
        <v>3275</v>
      </c>
      <c r="AB43" s="2940" t="s">
        <v>2817</v>
      </c>
      <c r="AC43" s="2940" t="s">
        <v>3078</v>
      </c>
      <c r="AD43" s="2940" t="s">
        <v>3285</v>
      </c>
      <c r="AE43" s="2940" t="s">
        <v>2817</v>
      </c>
      <c r="AF43" s="2940">
        <v>93745</v>
      </c>
      <c r="AG43" s="2940">
        <v>102280</v>
      </c>
      <c r="AH43" s="2940">
        <v>1466.68</v>
      </c>
      <c r="AI43" s="2940">
        <v>1600.21</v>
      </c>
      <c r="AJ43" s="2940">
        <v>5500.04</v>
      </c>
      <c r="AK43" s="2940">
        <v>6000.8</v>
      </c>
      <c r="AL43" s="2940" t="s">
        <v>2817</v>
      </c>
      <c r="AM43" s="2940" t="s">
        <v>2817</v>
      </c>
      <c r="AN43" s="2940">
        <v>9.1</v>
      </c>
      <c r="AO43" s="2940" t="s">
        <v>3277</v>
      </c>
      <c r="AP43" s="2940" t="s">
        <v>2817</v>
      </c>
      <c r="AQ43" s="2940" t="s">
        <v>2817</v>
      </c>
      <c r="AR43" s="2940" t="s">
        <v>2817</v>
      </c>
    </row>
    <row r="44" spans="1:44" s="2940" customFormat="1">
      <c r="A44" s="2940" t="s">
        <v>3286</v>
      </c>
      <c r="B44" s="2940" t="s">
        <v>1947</v>
      </c>
      <c r="C44" s="2940" t="s">
        <v>3066</v>
      </c>
      <c r="D44" s="2940" t="s">
        <v>3067</v>
      </c>
      <c r="E44" s="2940" t="s">
        <v>2817</v>
      </c>
      <c r="F44" s="2940" t="s">
        <v>3286</v>
      </c>
      <c r="G44" s="2940" t="s">
        <v>3082</v>
      </c>
      <c r="H44" s="2940" t="s">
        <v>3287</v>
      </c>
      <c r="I44" s="2940" t="s">
        <v>3288</v>
      </c>
      <c r="J44" s="2940">
        <v>7840.7</v>
      </c>
      <c r="K44" s="2940">
        <v>10919.07</v>
      </c>
      <c r="L44" s="2940">
        <v>1.39</v>
      </c>
      <c r="M44" s="2940" t="s">
        <v>2817</v>
      </c>
      <c r="N44" s="2940" t="s">
        <v>2817</v>
      </c>
      <c r="O44" s="2940" t="s">
        <v>2817</v>
      </c>
      <c r="P44" s="2940" t="s">
        <v>2817</v>
      </c>
      <c r="Q44" s="2940" t="s">
        <v>2817</v>
      </c>
      <c r="R44" s="2940" t="s">
        <v>2817</v>
      </c>
      <c r="S44" s="2940" t="s">
        <v>2817</v>
      </c>
      <c r="T44" s="2940" t="s">
        <v>2817</v>
      </c>
      <c r="U44" s="2940" t="s">
        <v>2817</v>
      </c>
      <c r="V44" s="2940" t="s">
        <v>2817</v>
      </c>
      <c r="W44" s="2940" t="s">
        <v>3101</v>
      </c>
      <c r="X44" s="2940" t="s">
        <v>2817</v>
      </c>
      <c r="Y44" s="2940" t="s">
        <v>3289</v>
      </c>
      <c r="Z44" s="2940" t="s">
        <v>3290</v>
      </c>
      <c r="AA44" s="2940" t="s">
        <v>3291</v>
      </c>
      <c r="AB44" s="2940" t="s">
        <v>2817</v>
      </c>
      <c r="AC44" s="2940" t="s">
        <v>3078</v>
      </c>
      <c r="AD44" s="2940" t="s">
        <v>3292</v>
      </c>
      <c r="AE44" s="2940" t="s">
        <v>2817</v>
      </c>
      <c r="AF44" s="2940">
        <v>6052</v>
      </c>
      <c r="AG44" s="2940">
        <v>9800</v>
      </c>
      <c r="AH44" s="2940">
        <v>514.58000000000004</v>
      </c>
      <c r="AI44" s="2940">
        <v>833.26</v>
      </c>
      <c r="AJ44" s="2940">
        <v>5542.59</v>
      </c>
      <c r="AK44" s="2940">
        <v>8975.1200000000008</v>
      </c>
      <c r="AL44" s="2940" t="s">
        <v>2817</v>
      </c>
      <c r="AM44" s="2940" t="s">
        <v>2817</v>
      </c>
      <c r="AN44" s="2940">
        <v>61.93</v>
      </c>
      <c r="AO44" s="2940" t="s">
        <v>3293</v>
      </c>
      <c r="AP44" s="2940" t="s">
        <v>2817</v>
      </c>
      <c r="AQ44" s="2940" t="s">
        <v>2817</v>
      </c>
      <c r="AR44" s="2940" t="s">
        <v>2817</v>
      </c>
    </row>
    <row r="45" spans="1:44" s="2940" customFormat="1">
      <c r="A45" s="2940" t="s">
        <v>3294</v>
      </c>
      <c r="B45" s="2940" t="s">
        <v>1947</v>
      </c>
      <c r="C45" s="2940" t="s">
        <v>3066</v>
      </c>
      <c r="D45" s="2940" t="s">
        <v>3067</v>
      </c>
      <c r="E45" s="2940" t="s">
        <v>2817</v>
      </c>
      <c r="F45" s="2940" t="s">
        <v>3295</v>
      </c>
      <c r="G45" s="2940" t="s">
        <v>3082</v>
      </c>
      <c r="H45" s="2940" t="s">
        <v>3296</v>
      </c>
      <c r="I45" s="2940" t="s">
        <v>3200</v>
      </c>
      <c r="J45" s="2940">
        <v>4301.6099999999997</v>
      </c>
      <c r="K45" s="2940">
        <v>17206</v>
      </c>
      <c r="L45" s="2940" t="s">
        <v>2817</v>
      </c>
      <c r="M45" s="2940" t="s">
        <v>2817</v>
      </c>
      <c r="N45" s="2940" t="s">
        <v>2817</v>
      </c>
      <c r="O45" s="2940" t="s">
        <v>2817</v>
      </c>
      <c r="P45" s="2940" t="s">
        <v>2817</v>
      </c>
      <c r="Q45" s="2940" t="s">
        <v>2817</v>
      </c>
      <c r="R45" s="2940" t="s">
        <v>2817</v>
      </c>
      <c r="S45" s="2940" t="s">
        <v>2817</v>
      </c>
      <c r="T45" s="2940" t="s">
        <v>2817</v>
      </c>
      <c r="U45" s="2940" t="s">
        <v>2817</v>
      </c>
      <c r="V45" s="2940" t="s">
        <v>2817</v>
      </c>
      <c r="W45" s="2940" t="s">
        <v>3101</v>
      </c>
      <c r="X45" s="2940" t="s">
        <v>2817</v>
      </c>
      <c r="Y45" s="2940" t="s">
        <v>3297</v>
      </c>
      <c r="Z45" s="2940" t="s">
        <v>3298</v>
      </c>
      <c r="AA45" s="2940" t="s">
        <v>3298</v>
      </c>
      <c r="AB45" s="2940" t="s">
        <v>2817</v>
      </c>
      <c r="AC45" s="2940" t="s">
        <v>3078</v>
      </c>
      <c r="AD45" s="2940" t="s">
        <v>3299</v>
      </c>
      <c r="AE45" s="2940">
        <v>5000</v>
      </c>
      <c r="AF45" s="2940">
        <v>11826</v>
      </c>
      <c r="AG45" s="2940">
        <v>12026</v>
      </c>
      <c r="AH45" s="2940">
        <v>1832.8</v>
      </c>
      <c r="AI45" s="2940">
        <v>1863.8</v>
      </c>
      <c r="AJ45" s="2940">
        <v>6873.18</v>
      </c>
      <c r="AK45" s="2940">
        <v>6989.42</v>
      </c>
      <c r="AL45" s="2940" t="s">
        <v>2817</v>
      </c>
      <c r="AM45" s="2940" t="s">
        <v>2817</v>
      </c>
      <c r="AN45" s="2940">
        <v>1.69</v>
      </c>
      <c r="AO45" s="2940" t="s">
        <v>3300</v>
      </c>
      <c r="AP45" s="2940" t="s">
        <v>2817</v>
      </c>
      <c r="AQ45" s="2940" t="s">
        <v>2817</v>
      </c>
      <c r="AR45" s="2940" t="s">
        <v>2817</v>
      </c>
    </row>
    <row r="46" spans="1:44" s="2940" customFormat="1">
      <c r="A46" s="2940" t="s">
        <v>3301</v>
      </c>
      <c r="B46" s="2940" t="s">
        <v>1947</v>
      </c>
      <c r="C46" s="2940" t="s">
        <v>3066</v>
      </c>
      <c r="D46" s="2940" t="s">
        <v>3067</v>
      </c>
      <c r="E46" s="2940" t="s">
        <v>2817</v>
      </c>
      <c r="F46" s="2940" t="s">
        <v>3302</v>
      </c>
      <c r="G46" s="2940" t="s">
        <v>3082</v>
      </c>
      <c r="H46" s="2940" t="s">
        <v>3303</v>
      </c>
      <c r="I46" s="2940" t="s">
        <v>3304</v>
      </c>
      <c r="J46" s="2940">
        <v>23451.07</v>
      </c>
      <c r="K46" s="2940">
        <v>93804.26</v>
      </c>
      <c r="L46" s="2940" t="s">
        <v>2817</v>
      </c>
      <c r="M46" s="2940" t="s">
        <v>2817</v>
      </c>
      <c r="N46" s="2940" t="s">
        <v>2817</v>
      </c>
      <c r="O46" s="2940" t="s">
        <v>2817</v>
      </c>
      <c r="P46" s="2940" t="s">
        <v>2817</v>
      </c>
      <c r="Q46" s="2940" t="s">
        <v>2817</v>
      </c>
      <c r="R46" s="2940" t="s">
        <v>2817</v>
      </c>
      <c r="S46" s="2940" t="s">
        <v>2817</v>
      </c>
      <c r="T46" s="2940" t="s">
        <v>2817</v>
      </c>
      <c r="U46" s="2940" t="s">
        <v>2817</v>
      </c>
      <c r="V46" s="2940" t="s">
        <v>2817</v>
      </c>
      <c r="W46" s="2940" t="s">
        <v>3101</v>
      </c>
      <c r="X46" s="2940" t="s">
        <v>2817</v>
      </c>
      <c r="Y46" s="2940" t="s">
        <v>3297</v>
      </c>
      <c r="Z46" s="2940" t="s">
        <v>3298</v>
      </c>
      <c r="AA46" s="2940" t="s">
        <v>3298</v>
      </c>
      <c r="AB46" s="2940" t="s">
        <v>2817</v>
      </c>
      <c r="AC46" s="2940" t="s">
        <v>3078</v>
      </c>
      <c r="AD46" s="2940" t="s">
        <v>3305</v>
      </c>
      <c r="AE46" s="2940">
        <v>22800</v>
      </c>
      <c r="AF46" s="2940">
        <v>75730</v>
      </c>
      <c r="AG46" s="2940">
        <v>75730</v>
      </c>
      <c r="AH46" s="2940">
        <v>2152.85</v>
      </c>
      <c r="AI46" s="2940">
        <v>2152.85</v>
      </c>
      <c r="AJ46" s="2940">
        <v>8073.19</v>
      </c>
      <c r="AK46" s="2940">
        <v>8073.18</v>
      </c>
      <c r="AL46" s="2940" t="s">
        <v>2817</v>
      </c>
      <c r="AM46" s="2940" t="s">
        <v>2817</v>
      </c>
      <c r="AN46" s="2940">
        <v>0</v>
      </c>
      <c r="AO46" s="2940" t="s">
        <v>3120</v>
      </c>
      <c r="AP46" s="2940" t="s">
        <v>2817</v>
      </c>
      <c r="AQ46" s="2940" t="s">
        <v>2817</v>
      </c>
      <c r="AR46" s="2940" t="s">
        <v>2817</v>
      </c>
    </row>
    <row r="47" spans="1:44" s="2940" customFormat="1">
      <c r="A47" s="2940" t="s">
        <v>3306</v>
      </c>
      <c r="B47" s="2940" t="s">
        <v>1947</v>
      </c>
      <c r="C47" s="2940" t="s">
        <v>3066</v>
      </c>
      <c r="D47" s="2940" t="s">
        <v>3067</v>
      </c>
      <c r="E47" s="2940" t="s">
        <v>2817</v>
      </c>
      <c r="F47" s="2940" t="s">
        <v>3307</v>
      </c>
      <c r="G47" s="2940" t="s">
        <v>3082</v>
      </c>
      <c r="H47" s="2940" t="s">
        <v>3308</v>
      </c>
      <c r="I47" s="2940" t="s">
        <v>3200</v>
      </c>
      <c r="J47" s="2940">
        <v>7625.32</v>
      </c>
      <c r="K47" s="2940">
        <v>22875.95</v>
      </c>
      <c r="L47" s="2940" t="s">
        <v>2817</v>
      </c>
      <c r="M47" s="2940" t="s">
        <v>2817</v>
      </c>
      <c r="N47" s="2940" t="s">
        <v>2817</v>
      </c>
      <c r="O47" s="2940" t="s">
        <v>2817</v>
      </c>
      <c r="P47" s="2940" t="s">
        <v>2817</v>
      </c>
      <c r="Q47" s="2940" t="s">
        <v>2817</v>
      </c>
      <c r="R47" s="2940" t="s">
        <v>2817</v>
      </c>
      <c r="S47" s="2940" t="s">
        <v>2817</v>
      </c>
      <c r="T47" s="2940" t="s">
        <v>2817</v>
      </c>
      <c r="U47" s="2940" t="s">
        <v>2817</v>
      </c>
      <c r="V47" s="2940" t="s">
        <v>2817</v>
      </c>
      <c r="W47" s="2940" t="s">
        <v>3101</v>
      </c>
      <c r="X47" s="2940" t="s">
        <v>2817</v>
      </c>
      <c r="Y47" s="2940" t="s">
        <v>3309</v>
      </c>
      <c r="Z47" s="2940" t="s">
        <v>3310</v>
      </c>
      <c r="AA47" s="2940" t="s">
        <v>3310</v>
      </c>
      <c r="AB47" s="2940" t="s">
        <v>2817</v>
      </c>
      <c r="AC47" s="2940" t="s">
        <v>3078</v>
      </c>
      <c r="AD47" s="2940" t="s">
        <v>3311</v>
      </c>
      <c r="AE47" s="2940">
        <v>1000</v>
      </c>
      <c r="AF47" s="2940">
        <v>10393</v>
      </c>
      <c r="AG47" s="2940">
        <v>24300</v>
      </c>
      <c r="AH47" s="2940">
        <v>908.64</v>
      </c>
      <c r="AI47" s="2940">
        <v>2124.5</v>
      </c>
      <c r="AJ47" s="2940">
        <v>4543.1899999999996</v>
      </c>
      <c r="AK47" s="2940">
        <v>10622.51</v>
      </c>
      <c r="AL47" s="2940" t="s">
        <v>2817</v>
      </c>
      <c r="AM47" s="2940" t="s">
        <v>2817</v>
      </c>
      <c r="AN47" s="2940">
        <v>133.81</v>
      </c>
      <c r="AO47" s="2940" t="s">
        <v>3300</v>
      </c>
      <c r="AP47" s="2940" t="s">
        <v>2817</v>
      </c>
      <c r="AQ47" s="2940" t="s">
        <v>2817</v>
      </c>
      <c r="AR47" s="2940" t="s">
        <v>2817</v>
      </c>
    </row>
    <row r="48" spans="1:44" s="2940" customFormat="1">
      <c r="A48" s="2940" t="s">
        <v>3312</v>
      </c>
      <c r="B48" s="2940" t="s">
        <v>1947</v>
      </c>
      <c r="C48" s="2940" t="s">
        <v>3066</v>
      </c>
      <c r="D48" s="2940" t="s">
        <v>3067</v>
      </c>
      <c r="E48" s="2940" t="s">
        <v>2817</v>
      </c>
      <c r="F48" s="2940" t="s">
        <v>3313</v>
      </c>
      <c r="G48" s="2940" t="s">
        <v>3082</v>
      </c>
      <c r="H48" s="2940" t="s">
        <v>3314</v>
      </c>
      <c r="I48" s="2940" t="s">
        <v>3315</v>
      </c>
      <c r="J48" s="2940">
        <v>8600</v>
      </c>
      <c r="K48" s="2940">
        <v>38700</v>
      </c>
      <c r="L48" s="2940">
        <v>4.5</v>
      </c>
      <c r="M48" s="2940" t="s">
        <v>2817</v>
      </c>
      <c r="N48" s="2940" t="s">
        <v>2817</v>
      </c>
      <c r="O48" s="2940" t="s">
        <v>2817</v>
      </c>
      <c r="P48" s="2940" t="s">
        <v>2817</v>
      </c>
      <c r="Q48" s="2940" t="s">
        <v>2817</v>
      </c>
      <c r="R48" s="2940" t="s">
        <v>2817</v>
      </c>
      <c r="S48" s="2940" t="s">
        <v>2817</v>
      </c>
      <c r="T48" s="2940" t="s">
        <v>2817</v>
      </c>
      <c r="U48" s="2940" t="s">
        <v>2817</v>
      </c>
      <c r="V48" s="2940" t="s">
        <v>2817</v>
      </c>
      <c r="W48" s="2940" t="s">
        <v>3101</v>
      </c>
      <c r="X48" s="2940" t="s">
        <v>2817</v>
      </c>
      <c r="Y48" s="2940" t="s">
        <v>3316</v>
      </c>
      <c r="Z48" s="2940" t="s">
        <v>3317</v>
      </c>
      <c r="AA48" s="2940" t="s">
        <v>3317</v>
      </c>
      <c r="AB48" s="2940" t="s">
        <v>2817</v>
      </c>
      <c r="AC48" s="2940" t="s">
        <v>3078</v>
      </c>
      <c r="AD48" s="2940" t="s">
        <v>3318</v>
      </c>
      <c r="AE48" s="2940">
        <v>2500</v>
      </c>
      <c r="AF48" s="2940">
        <v>12884</v>
      </c>
      <c r="AG48" s="2940">
        <v>12884</v>
      </c>
      <c r="AH48" s="2940">
        <v>998.76</v>
      </c>
      <c r="AI48" s="2940">
        <v>998.76</v>
      </c>
      <c r="AJ48" s="2940">
        <v>3329.19</v>
      </c>
      <c r="AK48" s="2940">
        <v>3329.19</v>
      </c>
      <c r="AL48" s="2940" t="s">
        <v>2817</v>
      </c>
      <c r="AM48" s="2940" t="s">
        <v>2817</v>
      </c>
      <c r="AN48" s="2940">
        <v>0</v>
      </c>
      <c r="AO48" s="2940" t="s">
        <v>3120</v>
      </c>
      <c r="AP48" s="2940" t="s">
        <v>2817</v>
      </c>
      <c r="AQ48" s="2940" t="s">
        <v>2817</v>
      </c>
      <c r="AR48" s="2940" t="s">
        <v>2817</v>
      </c>
    </row>
    <row r="49" spans="1:44" s="2940" customFormat="1">
      <c r="A49" s="2940" t="s">
        <v>3319</v>
      </c>
      <c r="B49" s="2940" t="s">
        <v>1947</v>
      </c>
      <c r="C49" s="2940" t="s">
        <v>3066</v>
      </c>
      <c r="D49" s="2940" t="s">
        <v>3067</v>
      </c>
      <c r="E49" s="2940" t="s">
        <v>2817</v>
      </c>
      <c r="F49" s="2940" t="s">
        <v>3320</v>
      </c>
      <c r="G49" s="2940" t="s">
        <v>3082</v>
      </c>
      <c r="H49" s="2940" t="s">
        <v>3321</v>
      </c>
      <c r="I49" s="2940" t="s">
        <v>3304</v>
      </c>
      <c r="J49" s="2940">
        <v>21240.32</v>
      </c>
      <c r="K49" s="2940">
        <v>63720.959999999999</v>
      </c>
      <c r="L49" s="2940">
        <v>3</v>
      </c>
      <c r="M49" s="2940" t="s">
        <v>2817</v>
      </c>
      <c r="N49" s="2940" t="s">
        <v>2817</v>
      </c>
      <c r="O49" s="2940" t="s">
        <v>2817</v>
      </c>
      <c r="P49" s="2940" t="s">
        <v>2817</v>
      </c>
      <c r="Q49" s="2940" t="s">
        <v>2817</v>
      </c>
      <c r="R49" s="2940" t="s">
        <v>2817</v>
      </c>
      <c r="S49" s="2940" t="s">
        <v>2817</v>
      </c>
      <c r="T49" s="2940" t="s">
        <v>2817</v>
      </c>
      <c r="U49" s="2940" t="s">
        <v>2817</v>
      </c>
      <c r="V49" s="2940" t="s">
        <v>2817</v>
      </c>
      <c r="W49" s="2940" t="s">
        <v>3101</v>
      </c>
      <c r="X49" s="2940" t="s">
        <v>2817</v>
      </c>
      <c r="Y49" s="2940" t="s">
        <v>3322</v>
      </c>
      <c r="Z49" s="2940" t="s">
        <v>3323</v>
      </c>
      <c r="AA49" s="2940" t="s">
        <v>3323</v>
      </c>
      <c r="AB49" s="2940" t="s">
        <v>2817</v>
      </c>
      <c r="AC49" s="2940" t="s">
        <v>3078</v>
      </c>
      <c r="AD49" s="2940" t="s">
        <v>3324</v>
      </c>
      <c r="AE49" s="2940">
        <v>2000</v>
      </c>
      <c r="AF49" s="2940">
        <v>18084.84</v>
      </c>
      <c r="AG49" s="2940">
        <v>26400</v>
      </c>
      <c r="AH49" s="2940">
        <v>567.63</v>
      </c>
      <c r="AI49" s="2940">
        <v>828.61</v>
      </c>
      <c r="AJ49" s="2940">
        <v>2838.13</v>
      </c>
      <c r="AK49" s="2940">
        <v>4143.0600000000004</v>
      </c>
      <c r="AL49" s="2940" t="s">
        <v>2817</v>
      </c>
      <c r="AM49" s="2940" t="s">
        <v>2817</v>
      </c>
      <c r="AN49" s="2940">
        <v>45.98</v>
      </c>
      <c r="AO49" s="2940" t="s">
        <v>3120</v>
      </c>
      <c r="AP49" s="2940" t="s">
        <v>2817</v>
      </c>
      <c r="AQ49" s="2940" t="s">
        <v>2817</v>
      </c>
      <c r="AR49" s="2940" t="s">
        <v>2817</v>
      </c>
    </row>
    <row r="50" spans="1:44" s="2940" customFormat="1">
      <c r="A50" s="2940" t="s">
        <v>3325</v>
      </c>
      <c r="B50" s="2940" t="s">
        <v>1947</v>
      </c>
      <c r="C50" s="2940" t="s">
        <v>3066</v>
      </c>
      <c r="D50" s="2940" t="s">
        <v>3067</v>
      </c>
      <c r="E50" s="2940" t="s">
        <v>2817</v>
      </c>
      <c r="F50" s="2940" t="s">
        <v>3326</v>
      </c>
      <c r="G50" s="2940" t="s">
        <v>3082</v>
      </c>
      <c r="H50" s="2940" t="s">
        <v>3327</v>
      </c>
      <c r="I50" s="2940" t="s">
        <v>3328</v>
      </c>
      <c r="J50" s="2940">
        <v>4055.46</v>
      </c>
      <c r="K50" s="2940">
        <v>11715</v>
      </c>
      <c r="L50" s="2940">
        <v>2.9</v>
      </c>
      <c r="M50" s="2940" t="s">
        <v>2817</v>
      </c>
      <c r="N50" s="2940" t="s">
        <v>2817</v>
      </c>
      <c r="O50" s="2940" t="s">
        <v>2817</v>
      </c>
      <c r="P50" s="2940" t="s">
        <v>2817</v>
      </c>
      <c r="Q50" s="2940" t="s">
        <v>2817</v>
      </c>
      <c r="R50" s="2940" t="s">
        <v>2817</v>
      </c>
      <c r="S50" s="2940" t="s">
        <v>2817</v>
      </c>
      <c r="T50" s="2940" t="s">
        <v>2817</v>
      </c>
      <c r="U50" s="2940" t="s">
        <v>2817</v>
      </c>
      <c r="V50" s="2940" t="s">
        <v>2817</v>
      </c>
      <c r="W50" s="2940" t="s">
        <v>3101</v>
      </c>
      <c r="X50" s="2940" t="s">
        <v>2817</v>
      </c>
      <c r="Y50" s="2940" t="s">
        <v>3329</v>
      </c>
      <c r="Z50" s="2940" t="s">
        <v>3330</v>
      </c>
      <c r="AA50" s="2940" t="s">
        <v>3330</v>
      </c>
      <c r="AB50" s="2940" t="s">
        <v>2817</v>
      </c>
      <c r="AC50" s="2940" t="s">
        <v>3078</v>
      </c>
      <c r="AD50" s="2940" t="s">
        <v>3331</v>
      </c>
      <c r="AE50" s="2940">
        <v>300</v>
      </c>
      <c r="AF50" s="2940">
        <v>2781.15</v>
      </c>
      <c r="AG50" s="2940">
        <v>7010</v>
      </c>
      <c r="AH50" s="2940">
        <v>457.19</v>
      </c>
      <c r="AI50" s="2940">
        <v>1152.3599999999999</v>
      </c>
      <c r="AJ50" s="2940">
        <v>2374</v>
      </c>
      <c r="AK50" s="2940">
        <v>5983.77</v>
      </c>
      <c r="AL50" s="2940" t="s">
        <v>2817</v>
      </c>
      <c r="AM50" s="2940" t="s">
        <v>2817</v>
      </c>
      <c r="AN50" s="2940">
        <v>152.05000000000001</v>
      </c>
      <c r="AO50" s="2940" t="s">
        <v>3332</v>
      </c>
      <c r="AP50" s="2940" t="s">
        <v>2817</v>
      </c>
      <c r="AQ50" s="2940" t="s">
        <v>2817</v>
      </c>
      <c r="AR50" s="2940" t="s">
        <v>2817</v>
      </c>
    </row>
    <row r="51" spans="1:44" s="2940" customFormat="1">
      <c r="A51" s="2940" t="s">
        <v>3333</v>
      </c>
      <c r="B51" s="2940" t="s">
        <v>1947</v>
      </c>
      <c r="C51" s="2940" t="s">
        <v>3066</v>
      </c>
      <c r="D51" s="2940" t="s">
        <v>3067</v>
      </c>
      <c r="E51" s="2940" t="s">
        <v>2817</v>
      </c>
      <c r="F51" s="2940" t="s">
        <v>3334</v>
      </c>
      <c r="G51" s="2940" t="s">
        <v>3082</v>
      </c>
      <c r="H51" s="2940" t="s">
        <v>3335</v>
      </c>
      <c r="I51" s="2940" t="s">
        <v>3336</v>
      </c>
      <c r="J51" s="2940">
        <v>7557.6</v>
      </c>
      <c r="K51" s="2940">
        <v>42322.559999999998</v>
      </c>
      <c r="L51" s="2940">
        <v>5.6</v>
      </c>
      <c r="M51" s="2940" t="s">
        <v>2817</v>
      </c>
      <c r="N51" s="2940" t="s">
        <v>2817</v>
      </c>
      <c r="O51" s="2940" t="s">
        <v>2817</v>
      </c>
      <c r="P51" s="2940" t="s">
        <v>2817</v>
      </c>
      <c r="Q51" s="2940" t="s">
        <v>2817</v>
      </c>
      <c r="R51" s="2940" t="s">
        <v>2817</v>
      </c>
      <c r="S51" s="2940" t="s">
        <v>2817</v>
      </c>
      <c r="T51" s="2940" t="s">
        <v>2817</v>
      </c>
      <c r="U51" s="2940" t="s">
        <v>2817</v>
      </c>
      <c r="V51" s="2940" t="s">
        <v>2817</v>
      </c>
      <c r="W51" s="2940" t="s">
        <v>3101</v>
      </c>
      <c r="X51" s="2940" t="s">
        <v>2817</v>
      </c>
      <c r="Y51" s="2940" t="s">
        <v>3337</v>
      </c>
      <c r="Z51" s="2940" t="s">
        <v>3338</v>
      </c>
      <c r="AA51" s="2940" t="s">
        <v>3338</v>
      </c>
      <c r="AB51" s="2940" t="s">
        <v>2817</v>
      </c>
      <c r="AC51" s="2940" t="s">
        <v>3078</v>
      </c>
      <c r="AD51" s="2940" t="s">
        <v>3339</v>
      </c>
      <c r="AE51" s="2940">
        <v>1600</v>
      </c>
      <c r="AF51" s="2940">
        <v>15729.36</v>
      </c>
      <c r="AG51" s="2940">
        <v>23200</v>
      </c>
      <c r="AH51" s="2940">
        <v>1387.51</v>
      </c>
      <c r="AI51" s="2940">
        <v>2046.51</v>
      </c>
      <c r="AJ51" s="2940">
        <v>3716.54</v>
      </c>
      <c r="AK51" s="2940">
        <v>5481.71</v>
      </c>
      <c r="AL51" s="2940" t="s">
        <v>2817</v>
      </c>
      <c r="AM51" s="2940" t="s">
        <v>2817</v>
      </c>
      <c r="AN51" s="2940">
        <v>47.49</v>
      </c>
      <c r="AO51" s="2940" t="s">
        <v>3120</v>
      </c>
      <c r="AP51" s="2940" t="s">
        <v>2817</v>
      </c>
      <c r="AQ51" s="2940" t="s">
        <v>2817</v>
      </c>
      <c r="AR51" s="2940" t="s">
        <v>2817</v>
      </c>
    </row>
    <row r="52" spans="1:44" s="2940" customFormat="1">
      <c r="A52" s="2940" t="s">
        <v>3340</v>
      </c>
      <c r="B52" s="2940" t="s">
        <v>1947</v>
      </c>
      <c r="C52" s="2940" t="s">
        <v>3066</v>
      </c>
      <c r="D52" s="2940" t="s">
        <v>3067</v>
      </c>
      <c r="E52" s="2940" t="s">
        <v>2817</v>
      </c>
      <c r="F52" s="2940" t="s">
        <v>3334</v>
      </c>
      <c r="G52" s="2940" t="s">
        <v>3082</v>
      </c>
      <c r="H52" s="2940" t="s">
        <v>3341</v>
      </c>
      <c r="I52" s="2940" t="s">
        <v>3336</v>
      </c>
      <c r="J52" s="2940">
        <v>8797.2000000000007</v>
      </c>
      <c r="K52" s="2940">
        <v>43986</v>
      </c>
      <c r="L52" s="2940">
        <v>5</v>
      </c>
      <c r="M52" s="2940" t="s">
        <v>2817</v>
      </c>
      <c r="N52" s="2940" t="s">
        <v>2817</v>
      </c>
      <c r="O52" s="2940" t="s">
        <v>2817</v>
      </c>
      <c r="P52" s="2940" t="s">
        <v>2817</v>
      </c>
      <c r="Q52" s="2940" t="s">
        <v>2817</v>
      </c>
      <c r="R52" s="2940" t="s">
        <v>2817</v>
      </c>
      <c r="S52" s="2940" t="s">
        <v>2817</v>
      </c>
      <c r="T52" s="2940" t="s">
        <v>2817</v>
      </c>
      <c r="U52" s="2940" t="s">
        <v>2817</v>
      </c>
      <c r="V52" s="2940" t="s">
        <v>2817</v>
      </c>
      <c r="W52" s="2940" t="s">
        <v>3101</v>
      </c>
      <c r="X52" s="2940" t="s">
        <v>2817</v>
      </c>
      <c r="Y52" s="2940" t="s">
        <v>3337</v>
      </c>
      <c r="Z52" s="2940" t="s">
        <v>3342</v>
      </c>
      <c r="AA52" s="2940" t="s">
        <v>3342</v>
      </c>
      <c r="AB52" s="2940" t="s">
        <v>2817</v>
      </c>
      <c r="AC52" s="2940" t="s">
        <v>3078</v>
      </c>
      <c r="AD52" s="2940" t="s">
        <v>3343</v>
      </c>
      <c r="AE52" s="2940">
        <v>1700</v>
      </c>
      <c r="AF52" s="2940">
        <v>17123.47</v>
      </c>
      <c r="AG52" s="2940">
        <v>20800</v>
      </c>
      <c r="AH52" s="2940">
        <v>1297.6500000000001</v>
      </c>
      <c r="AI52" s="2940">
        <v>1576.26</v>
      </c>
      <c r="AJ52" s="2940">
        <v>3892.93</v>
      </c>
      <c r="AK52" s="2940">
        <v>4728.7700000000004</v>
      </c>
      <c r="AL52" s="2940" t="s">
        <v>2817</v>
      </c>
      <c r="AM52" s="2940" t="s">
        <v>2817</v>
      </c>
      <c r="AN52" s="2940">
        <v>21.47</v>
      </c>
      <c r="AO52" s="2940" t="s">
        <v>3120</v>
      </c>
      <c r="AP52" s="2940" t="s">
        <v>2817</v>
      </c>
      <c r="AQ52" s="2940" t="s">
        <v>2817</v>
      </c>
      <c r="AR52" s="2940" t="s">
        <v>2817</v>
      </c>
    </row>
    <row r="53" spans="1:44" s="2940" customFormat="1">
      <c r="A53" s="2940" t="s">
        <v>3344</v>
      </c>
      <c r="B53" s="2940" t="s">
        <v>1947</v>
      </c>
      <c r="C53" s="2940" t="s">
        <v>3066</v>
      </c>
      <c r="D53" s="2940" t="s">
        <v>3067</v>
      </c>
      <c r="E53" s="2940" t="s">
        <v>2817</v>
      </c>
      <c r="F53" s="2940" t="s">
        <v>3344</v>
      </c>
      <c r="G53" s="2940" t="s">
        <v>3082</v>
      </c>
      <c r="H53" s="2940" t="s">
        <v>3345</v>
      </c>
      <c r="I53" s="2940" t="s">
        <v>3346</v>
      </c>
      <c r="J53" s="2940">
        <v>29860.74</v>
      </c>
      <c r="K53" s="2940">
        <v>106750</v>
      </c>
      <c r="L53" s="2940">
        <v>3.57</v>
      </c>
      <c r="M53" s="2940" t="s">
        <v>2817</v>
      </c>
      <c r="N53" s="2940" t="s">
        <v>2817</v>
      </c>
      <c r="O53" s="2940" t="s">
        <v>2817</v>
      </c>
      <c r="P53" s="2940" t="s">
        <v>2817</v>
      </c>
      <c r="Q53" s="2940" t="s">
        <v>2817</v>
      </c>
      <c r="R53" s="2940" t="s">
        <v>2817</v>
      </c>
      <c r="S53" s="2940" t="s">
        <v>2817</v>
      </c>
      <c r="T53" s="2940" t="s">
        <v>2817</v>
      </c>
      <c r="U53" s="2940" t="s">
        <v>2817</v>
      </c>
      <c r="V53" s="2940" t="s">
        <v>2817</v>
      </c>
      <c r="W53" s="2940" t="s">
        <v>3101</v>
      </c>
      <c r="X53" s="2940" t="s">
        <v>2817</v>
      </c>
      <c r="Y53" s="2940" t="s">
        <v>3347</v>
      </c>
      <c r="Z53" s="2940" t="s">
        <v>3348</v>
      </c>
      <c r="AA53" s="2940" t="s">
        <v>3348</v>
      </c>
      <c r="AB53" s="2940" t="s">
        <v>2817</v>
      </c>
      <c r="AC53" s="2940" t="s">
        <v>3078</v>
      </c>
      <c r="AD53" s="2940" t="s">
        <v>3349</v>
      </c>
      <c r="AE53" s="2940">
        <v>3700</v>
      </c>
      <c r="AF53" s="2940">
        <v>37050.620000000003</v>
      </c>
      <c r="AG53" s="2940">
        <v>37050.620000000003</v>
      </c>
      <c r="AH53" s="2940">
        <v>827.19</v>
      </c>
      <c r="AI53" s="2940">
        <v>827.19</v>
      </c>
      <c r="AJ53" s="2940">
        <v>3470.78</v>
      </c>
      <c r="AK53" s="2940">
        <v>3470.78</v>
      </c>
      <c r="AL53" s="2940" t="s">
        <v>2817</v>
      </c>
      <c r="AM53" s="2940" t="s">
        <v>2817</v>
      </c>
      <c r="AN53" s="2940">
        <v>0</v>
      </c>
      <c r="AO53" s="2940" t="s">
        <v>3300</v>
      </c>
      <c r="AP53" s="2940" t="s">
        <v>2817</v>
      </c>
      <c r="AQ53" s="2940" t="s">
        <v>2817</v>
      </c>
      <c r="AR53" s="2940" t="s">
        <v>2817</v>
      </c>
    </row>
    <row r="54" spans="1:44" s="2940" customFormat="1">
      <c r="A54" s="2940" t="s">
        <v>3350</v>
      </c>
      <c r="B54" s="2940" t="s">
        <v>1947</v>
      </c>
      <c r="C54" s="2940" t="s">
        <v>3066</v>
      </c>
      <c r="D54" s="2940" t="s">
        <v>3067</v>
      </c>
      <c r="E54" s="2940" t="s">
        <v>2817</v>
      </c>
      <c r="F54" s="2940" t="s">
        <v>3351</v>
      </c>
      <c r="G54" s="2940" t="s">
        <v>3082</v>
      </c>
      <c r="H54" s="2940" t="s">
        <v>3352</v>
      </c>
      <c r="I54" s="2940" t="s">
        <v>3200</v>
      </c>
      <c r="J54" s="2940">
        <v>23661.33</v>
      </c>
      <c r="K54" s="2940">
        <v>59153.32</v>
      </c>
      <c r="L54" s="2940">
        <v>2.5</v>
      </c>
      <c r="M54" s="2940" t="s">
        <v>2817</v>
      </c>
      <c r="N54" s="2940" t="s">
        <v>2817</v>
      </c>
      <c r="O54" s="2940" t="s">
        <v>2817</v>
      </c>
      <c r="P54" s="2940" t="s">
        <v>2817</v>
      </c>
      <c r="Q54" s="2940" t="s">
        <v>2817</v>
      </c>
      <c r="R54" s="2940" t="s">
        <v>2817</v>
      </c>
      <c r="S54" s="2940" t="s">
        <v>2817</v>
      </c>
      <c r="T54" s="2940" t="s">
        <v>2817</v>
      </c>
      <c r="U54" s="2940" t="s">
        <v>2817</v>
      </c>
      <c r="V54" s="2940" t="s">
        <v>2817</v>
      </c>
      <c r="W54" s="2940" t="s">
        <v>3101</v>
      </c>
      <c r="X54" s="2940" t="s">
        <v>2817</v>
      </c>
      <c r="Y54" s="2940" t="s">
        <v>3353</v>
      </c>
      <c r="Z54" s="2940" t="s">
        <v>3354</v>
      </c>
      <c r="AA54" s="2940" t="s">
        <v>3354</v>
      </c>
      <c r="AB54" s="2940" t="s">
        <v>2817</v>
      </c>
      <c r="AC54" s="2940" t="s">
        <v>3078</v>
      </c>
      <c r="AD54" s="2940" t="s">
        <v>3355</v>
      </c>
      <c r="AE54" s="2940">
        <v>2000</v>
      </c>
      <c r="AF54" s="2940">
        <v>20705.91</v>
      </c>
      <c r="AG54" s="2940">
        <v>23300</v>
      </c>
      <c r="AH54" s="2940">
        <v>583.4</v>
      </c>
      <c r="AI54" s="2940">
        <v>656.49</v>
      </c>
      <c r="AJ54" s="2940">
        <v>3500.38</v>
      </c>
      <c r="AK54" s="2940">
        <v>3938.92</v>
      </c>
      <c r="AL54" s="2940" t="s">
        <v>2817</v>
      </c>
      <c r="AM54" s="2940" t="s">
        <v>2817</v>
      </c>
      <c r="AN54" s="2940">
        <v>12.53</v>
      </c>
      <c r="AO54" s="2940" t="s">
        <v>3300</v>
      </c>
      <c r="AP54" s="2940" t="s">
        <v>2817</v>
      </c>
      <c r="AQ54" s="2940" t="s">
        <v>2817</v>
      </c>
      <c r="AR54" s="2940" t="s">
        <v>2817</v>
      </c>
    </row>
    <row r="55" spans="1:44" s="2940" customFormat="1">
      <c r="A55" s="2940" t="s">
        <v>3356</v>
      </c>
      <c r="B55" s="2940" t="s">
        <v>1947</v>
      </c>
      <c r="C55" s="2940" t="s">
        <v>3066</v>
      </c>
      <c r="D55" s="2940" t="s">
        <v>3067</v>
      </c>
      <c r="E55" s="2940" t="s">
        <v>2817</v>
      </c>
      <c r="F55" s="2940" t="s">
        <v>3357</v>
      </c>
      <c r="G55" s="2940" t="s">
        <v>3082</v>
      </c>
      <c r="H55" s="2940" t="s">
        <v>3358</v>
      </c>
      <c r="I55" s="2940" t="s">
        <v>3359</v>
      </c>
      <c r="J55" s="2940">
        <v>15168.05</v>
      </c>
      <c r="K55" s="2940">
        <v>81452</v>
      </c>
      <c r="L55" s="2940">
        <v>5.4</v>
      </c>
      <c r="M55" s="2940" t="s">
        <v>2817</v>
      </c>
      <c r="N55" s="2940" t="s">
        <v>2817</v>
      </c>
      <c r="O55" s="2940" t="s">
        <v>2817</v>
      </c>
      <c r="P55" s="2940" t="s">
        <v>2817</v>
      </c>
      <c r="Q55" s="2940" t="s">
        <v>2817</v>
      </c>
      <c r="R55" s="2940" t="s">
        <v>2817</v>
      </c>
      <c r="S55" s="2940" t="s">
        <v>2817</v>
      </c>
      <c r="T55" s="2940" t="s">
        <v>2817</v>
      </c>
      <c r="U55" s="2940" t="s">
        <v>2817</v>
      </c>
      <c r="V55" s="2940" t="s">
        <v>2817</v>
      </c>
      <c r="W55" s="2940" t="s">
        <v>3101</v>
      </c>
      <c r="X55" s="2940" t="s">
        <v>2817</v>
      </c>
      <c r="Y55" s="2940" t="s">
        <v>3353</v>
      </c>
      <c r="Z55" s="2940" t="s">
        <v>3360</v>
      </c>
      <c r="AA55" s="2940" t="s">
        <v>3360</v>
      </c>
      <c r="AB55" s="2940" t="s">
        <v>2817</v>
      </c>
      <c r="AC55" s="2940" t="s">
        <v>3078</v>
      </c>
      <c r="AD55" s="2940" t="s">
        <v>3361</v>
      </c>
      <c r="AE55" s="2940">
        <v>3000</v>
      </c>
      <c r="AF55" s="2940">
        <v>29689.25</v>
      </c>
      <c r="AG55" s="2940">
        <v>29689.25</v>
      </c>
      <c r="AH55" s="2940">
        <v>1304.9000000000001</v>
      </c>
      <c r="AI55" s="2940">
        <v>1304.9000000000001</v>
      </c>
      <c r="AJ55" s="2940">
        <v>3645</v>
      </c>
      <c r="AK55" s="2940">
        <v>3645</v>
      </c>
      <c r="AL55" s="2940" t="s">
        <v>2817</v>
      </c>
      <c r="AM55" s="2940" t="s">
        <v>2817</v>
      </c>
      <c r="AN55" s="2940">
        <v>0</v>
      </c>
      <c r="AO55" s="2940" t="s">
        <v>3120</v>
      </c>
      <c r="AP55" s="2940" t="s">
        <v>2817</v>
      </c>
      <c r="AQ55" s="2940" t="s">
        <v>2817</v>
      </c>
      <c r="AR55" s="2940" t="s">
        <v>2817</v>
      </c>
    </row>
    <row r="56" spans="1:44" s="2940" customFormat="1">
      <c r="A56" s="2940" t="s">
        <v>3362</v>
      </c>
      <c r="B56" s="2940" t="s">
        <v>1947</v>
      </c>
      <c r="C56" s="2940" t="s">
        <v>3066</v>
      </c>
      <c r="D56" s="2940" t="s">
        <v>3067</v>
      </c>
      <c r="E56" s="2940" t="s">
        <v>2817</v>
      </c>
      <c r="F56" s="2940" t="s">
        <v>3363</v>
      </c>
      <c r="G56" s="2940" t="s">
        <v>3082</v>
      </c>
      <c r="H56" s="2940" t="s">
        <v>3364</v>
      </c>
      <c r="I56" s="2940" t="s">
        <v>3346</v>
      </c>
      <c r="J56" s="2940">
        <v>9405.5499999999993</v>
      </c>
      <c r="K56" s="2940">
        <v>147090</v>
      </c>
      <c r="L56" s="2940">
        <v>3.3</v>
      </c>
      <c r="M56" s="2940" t="s">
        <v>2817</v>
      </c>
      <c r="N56" s="2940" t="s">
        <v>2817</v>
      </c>
      <c r="O56" s="2940" t="s">
        <v>2817</v>
      </c>
      <c r="P56" s="2940" t="s">
        <v>2817</v>
      </c>
      <c r="Q56" s="2940" t="s">
        <v>2817</v>
      </c>
      <c r="R56" s="2940" t="s">
        <v>2817</v>
      </c>
      <c r="S56" s="2940" t="s">
        <v>2817</v>
      </c>
      <c r="T56" s="2940" t="s">
        <v>2817</v>
      </c>
      <c r="U56" s="2940" t="s">
        <v>2817</v>
      </c>
      <c r="V56" s="2940" t="s">
        <v>2817</v>
      </c>
      <c r="W56" s="2940" t="s">
        <v>3101</v>
      </c>
      <c r="X56" s="2940" t="s">
        <v>2817</v>
      </c>
      <c r="Y56" s="2940" t="s">
        <v>3365</v>
      </c>
      <c r="Z56" s="2940" t="s">
        <v>3366</v>
      </c>
      <c r="AA56" s="2940" t="s">
        <v>3366</v>
      </c>
      <c r="AB56" s="2940" t="s">
        <v>2817</v>
      </c>
      <c r="AC56" s="2940" t="s">
        <v>3078</v>
      </c>
      <c r="AD56" s="2940" t="s">
        <v>3367</v>
      </c>
      <c r="AE56" s="2940">
        <v>1200</v>
      </c>
      <c r="AF56" s="2940">
        <v>11572.5</v>
      </c>
      <c r="AG56" s="2940">
        <v>11572.5</v>
      </c>
      <c r="AH56" s="2940">
        <v>820.26</v>
      </c>
      <c r="AI56" s="2940">
        <v>820.26</v>
      </c>
      <c r="AJ56" s="2940">
        <v>786.76</v>
      </c>
      <c r="AK56" s="2940">
        <v>786.75</v>
      </c>
      <c r="AL56" s="2940" t="s">
        <v>2817</v>
      </c>
      <c r="AM56" s="2940" t="s">
        <v>2817</v>
      </c>
      <c r="AN56" s="2940">
        <v>0</v>
      </c>
      <c r="AO56" s="2940" t="s">
        <v>3300</v>
      </c>
      <c r="AP56" s="2940" t="s">
        <v>2817</v>
      </c>
      <c r="AQ56" s="2940" t="s">
        <v>2817</v>
      </c>
      <c r="AR56" s="2940" t="s">
        <v>2817</v>
      </c>
    </row>
  </sheetData>
  <phoneticPr fontId="23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C97" workbookViewId="0">
      <selection activeCell="C111" sqref="C111"/>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9" t="s">
        <v>2039</v>
      </c>
      <c r="B1" s="3209"/>
      <c r="C1" s="3209"/>
      <c r="D1" s="3209"/>
      <c r="E1" s="3209"/>
      <c r="F1" s="3209"/>
      <c r="G1" s="3209"/>
      <c r="H1" s="3209"/>
      <c r="I1" s="3209"/>
      <c r="J1" s="3209"/>
      <c r="K1" s="3209"/>
      <c r="L1" s="3209"/>
      <c r="M1" s="3209"/>
      <c r="N1" s="3209"/>
      <c r="O1" s="3209"/>
      <c r="P1" s="3209"/>
      <c r="Q1" s="3209"/>
      <c r="R1" s="3209"/>
    </row>
    <row r="2" spans="1:18">
      <c r="A2" s="1808" t="s">
        <v>2041</v>
      </c>
      <c r="B2" s="1808"/>
      <c r="C2" s="1808"/>
      <c r="D2" s="1808"/>
      <c r="E2" s="1808"/>
      <c r="F2" s="1808"/>
      <c r="G2" s="1808"/>
      <c r="H2" s="1808"/>
      <c r="I2" s="1809"/>
      <c r="J2" s="1809"/>
      <c r="K2" s="1810" t="str">
        <f>"估价期日："&amp;TEXT(项目基本情况!D3,"yyyy年m月d日;;")</f>
        <v>估价期日：2018年10月29日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10" t="s">
        <v>2030</v>
      </c>
      <c r="B3" s="3210" t="s">
        <v>2730</v>
      </c>
      <c r="C3" s="3211" t="s">
        <v>2031</v>
      </c>
      <c r="D3" s="3210" t="s">
        <v>2734</v>
      </c>
      <c r="E3" s="3213" t="s">
        <v>2032</v>
      </c>
      <c r="F3" s="3213"/>
      <c r="G3" s="3213"/>
      <c r="H3" s="3213" t="s">
        <v>2033</v>
      </c>
      <c r="I3" s="3213"/>
      <c r="J3" s="3213"/>
      <c r="K3" s="3211" t="s">
        <v>2034</v>
      </c>
      <c r="L3" s="3211" t="s">
        <v>2035</v>
      </c>
      <c r="M3" s="3210" t="s">
        <v>2731</v>
      </c>
      <c r="N3" s="3212" t="str">
        <f>"（分摊）"&amp;项目基本情况!B16&amp;"国有建设用地使用权面积/㎡"</f>
        <v>（分摊）出让国有建设用地使用权面积/㎡</v>
      </c>
      <c r="O3" s="3210" t="s">
        <v>2064</v>
      </c>
      <c r="P3" s="3211" t="s">
        <v>2044</v>
      </c>
      <c r="Q3" s="3211" t="s">
        <v>2065</v>
      </c>
      <c r="R3" s="3211" t="s">
        <v>2036</v>
      </c>
    </row>
    <row r="4" spans="1:18" ht="36.75" customHeight="1">
      <c r="A4" s="3210"/>
      <c r="B4" s="3210"/>
      <c r="C4" s="3211"/>
      <c r="D4" s="3210"/>
      <c r="E4" s="2650" t="s">
        <v>2043</v>
      </c>
      <c r="F4" s="2650" t="s">
        <v>2743</v>
      </c>
      <c r="G4" s="2650" t="s">
        <v>2037</v>
      </c>
      <c r="H4" s="2650" t="s">
        <v>2038</v>
      </c>
      <c r="I4" s="2650" t="s">
        <v>2744</v>
      </c>
      <c r="J4" s="2650" t="s">
        <v>2037</v>
      </c>
      <c r="K4" s="3211"/>
      <c r="L4" s="3211"/>
      <c r="M4" s="3210"/>
      <c r="N4" s="3212"/>
      <c r="O4" s="3210"/>
      <c r="P4" s="3211"/>
      <c r="Q4" s="3211"/>
      <c r="R4" s="3211"/>
    </row>
    <row r="5" spans="1:18" ht="135" customHeight="1">
      <c r="A5" s="1944" t="s">
        <v>2654</v>
      </c>
      <c r="B5" s="2868" t="s">
        <v>2652</v>
      </c>
      <c r="C5" s="2649">
        <v>22</v>
      </c>
      <c r="D5" s="2648" t="s">
        <v>2653</v>
      </c>
      <c r="E5" s="1811" t="str">
        <f>项目基本情况!B12</f>
        <v>商务金融用地</v>
      </c>
      <c r="F5" s="2648">
        <v>258</v>
      </c>
      <c r="G5" s="1811" t="str">
        <f>项目基本情况!B13</f>
        <v>商业</v>
      </c>
      <c r="H5" s="2648">
        <v>1.5</v>
      </c>
      <c r="I5" s="2648">
        <v>1.5</v>
      </c>
      <c r="J5" s="2648">
        <v>1.5</v>
      </c>
      <c r="K5" s="1811" t="str">
        <f>"红线外"&amp;项目基本情况!T40&amp;"、宗地红线内"&amp;项目基本情况!B35</f>
        <v>红线外七通、宗地红线内场地平整</v>
      </c>
      <c r="L5" s="1811" t="str">
        <f>"红线外"&amp;项目基本情况!T40&amp;"、宗地红线内场地"&amp;项目基本情况!D36</f>
        <v>红线外七通、宗地红线内场地平整</v>
      </c>
      <c r="M5" s="1811" t="str">
        <f>IF(项目基本情况!B16="出让",项目基本情况!D20,"——")</f>
        <v>商业38.58年</v>
      </c>
      <c r="N5" s="1811">
        <f>项目基本情况!C22</f>
        <v>20439.419999999998</v>
      </c>
      <c r="O5" s="1811">
        <f>项目基本情况!C21</f>
        <v>51512</v>
      </c>
      <c r="P5" s="1811">
        <f ca="1">结果表!E42</f>
        <v>28037</v>
      </c>
      <c r="Q5" s="1811">
        <f ca="1">结果表!D42</f>
        <v>11125</v>
      </c>
      <c r="R5" s="1812">
        <f ca="1">结果表!C42</f>
        <v>57306</v>
      </c>
    </row>
    <row r="6" spans="1:18">
      <c r="A6" s="3214" t="str">
        <f>IF(项目基本情况!B9="市场价格","——","抵押价格")</f>
        <v>抵押价格</v>
      </c>
      <c r="B6" s="3215"/>
      <c r="C6" s="3215"/>
      <c r="D6" s="3215"/>
      <c r="E6" s="3215"/>
      <c r="F6" s="3215"/>
      <c r="G6" s="3215"/>
      <c r="H6" s="3215"/>
      <c r="I6" s="3215"/>
      <c r="J6" s="3215"/>
      <c r="K6" s="3215"/>
      <c r="L6" s="3215"/>
      <c r="M6" s="3215"/>
      <c r="N6" s="3215"/>
      <c r="O6" s="3215"/>
      <c r="P6" s="3215"/>
      <c r="Q6" s="3216"/>
      <c r="R6" s="1813">
        <f ca="1">结果表!O39</f>
        <v>51118</v>
      </c>
    </row>
    <row r="7" spans="1:18">
      <c r="A7" s="3214" t="str">
        <f>IF(项目基本情况!B9="市场价格","——",IF(项目基本情况!E8="已注销及未注销","抵押担保权已注销时的抵押价格","——"))</f>
        <v>——</v>
      </c>
      <c r="B7" s="3215"/>
      <c r="C7" s="3215"/>
      <c r="D7" s="3215"/>
      <c r="E7" s="3215"/>
      <c r="F7" s="3215"/>
      <c r="G7" s="3215"/>
      <c r="H7" s="3215"/>
      <c r="I7" s="3215"/>
      <c r="J7" s="3215"/>
      <c r="K7" s="3215"/>
      <c r="L7" s="3215"/>
      <c r="M7" s="3215"/>
      <c r="N7" s="3215"/>
      <c r="O7" s="3215"/>
      <c r="P7" s="3215"/>
      <c r="Q7" s="3216"/>
      <c r="R7" s="1813" t="str">
        <f>结果表!O40</f>
        <v>——</v>
      </c>
    </row>
    <row r="8" spans="1:18">
      <c r="A8" s="3214" t="str">
        <f>IF(项目基本情况!B9="市场价格","——",项目基本情况!E9)</f>
        <v>——</v>
      </c>
      <c r="B8" s="3215"/>
      <c r="C8" s="3215"/>
      <c r="D8" s="3215"/>
      <c r="E8" s="3215"/>
      <c r="F8" s="3215"/>
      <c r="G8" s="3215"/>
      <c r="H8" s="3215"/>
      <c r="I8" s="3215"/>
      <c r="J8" s="3215"/>
      <c r="K8" s="3215"/>
      <c r="L8" s="3215"/>
      <c r="M8" s="3215"/>
      <c r="N8" s="3215"/>
      <c r="O8" s="3215"/>
      <c r="P8" s="3215"/>
      <c r="Q8" s="3216"/>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18" t="s">
        <v>2066</v>
      </c>
      <c r="B1" s="3218"/>
      <c r="C1" s="3218"/>
      <c r="D1" s="3218"/>
    </row>
    <row r="2" spans="1:4" ht="47.25" customHeight="1">
      <c r="A2" s="3219" t="str">
        <f>"1.权利限制："&amp;项目基本情况!L24&amp;"未设定租赁等其他他项权利。"</f>
        <v>1.权利限制：根据估价对象《不动产权证书》原件、，截至估价期日，估价对象抵押权未见登记。未设定租赁等其他他项权利。</v>
      </c>
      <c r="B2" s="3219"/>
      <c r="C2" s="3219"/>
      <c r="D2" s="3219"/>
    </row>
    <row r="3" spans="1:4" ht="48" customHeight="1">
      <c r="A3" s="321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8"/>
      <c r="C3" s="3218"/>
      <c r="D3" s="3218"/>
    </row>
    <row r="4" spans="1:4" ht="36.75" customHeight="1">
      <c r="A4" s="3218" t="str">
        <f>"3.估价规划限制条件：详见"&amp;项目基本情况!E21&amp;"。"</f>
        <v>3.估价规划限制条件：详见《建设工程规划许可证》[]、《出让合同》[]。</v>
      </c>
      <c r="B4" s="3218"/>
      <c r="C4" s="3218"/>
      <c r="D4" s="3218"/>
    </row>
    <row r="5" spans="1:4">
      <c r="A5" s="3217" t="s">
        <v>2067</v>
      </c>
      <c r="B5" s="3217"/>
      <c r="C5" s="3217"/>
      <c r="D5" s="3217"/>
    </row>
    <row r="6" spans="1:4">
      <c r="A6" s="3218" t="s">
        <v>2045</v>
      </c>
      <c r="B6" s="3218"/>
      <c r="C6" s="3218"/>
      <c r="D6" s="3218"/>
    </row>
    <row r="7" spans="1:4" ht="33" customHeight="1">
      <c r="A7" s="3218" t="s">
        <v>2575</v>
      </c>
      <c r="B7" s="3218"/>
      <c r="C7" s="3218"/>
      <c r="D7" s="3218"/>
    </row>
    <row r="8" spans="1:4" ht="32.25" customHeight="1">
      <c r="A8" s="321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8"/>
      <c r="C8" s="3218"/>
      <c r="D8" s="3218"/>
    </row>
    <row r="9" spans="1:4" ht="33.75" customHeight="1">
      <c r="A9" s="321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8"/>
      <c r="C9" s="3218"/>
      <c r="D9" s="3218"/>
    </row>
    <row r="10" spans="1:4">
      <c r="A10" s="3218" t="str">
        <f>IF(项目基本情况!B8="抵押","4.估价师所知悉的法定优先受偿款情况为：","——")</f>
        <v>4.估价师所知悉的法定优先受偿款情况为：</v>
      </c>
      <c r="B10" s="3218"/>
      <c r="C10" s="3218"/>
      <c r="D10" s="3218"/>
    </row>
    <row r="11" spans="1:4" ht="37.5" customHeight="1">
      <c r="A11" s="3220" t="str">
        <f>IF(项目基本情况!B8="抵押","（1）"&amp;CONCATENATE(项目基本情况!L24,项目基本情况!L25,项目基本情况!L26),"——")</f>
        <v>（1）根据估价对象《不动产权证书》原件、，截至估价期日，估价对象抵押权未见登记。</v>
      </c>
      <c r="B11" s="3220"/>
      <c r="C11" s="3220"/>
      <c r="D11" s="3220"/>
    </row>
    <row r="12" spans="1:4" ht="168" customHeight="1">
      <c r="A12" s="3217" t="s">
        <v>2069</v>
      </c>
      <c r="B12" s="3217"/>
      <c r="C12" s="3217"/>
      <c r="D12" s="3217"/>
    </row>
    <row r="13" spans="1:4">
      <c r="A13" s="3221" t="s">
        <v>2745</v>
      </c>
      <c r="B13" s="3221"/>
      <c r="C13" s="3221"/>
      <c r="D13" s="3221"/>
    </row>
    <row r="14" spans="1:4">
      <c r="A14" s="3220" t="str">
        <f ca="1">IF(项目基本情况!B8="抵押","综上，"&amp;结果表!K47,"——")</f>
        <v>综上，本次评估估价师知悉的法定优先受偿款为人民币6188万元整。</v>
      </c>
      <c r="B14" s="3220"/>
      <c r="C14" s="3220"/>
      <c r="D14" s="3220"/>
    </row>
    <row r="15" spans="1:4" ht="58.5" customHeight="1">
      <c r="A15" s="321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8"/>
      <c r="C15" s="3218"/>
      <c r="D15" s="3218"/>
    </row>
    <row r="16" spans="1:4" ht="70.5" customHeight="1">
      <c r="A16" s="321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8"/>
      <c r="C16" s="3218"/>
      <c r="D16" s="3218"/>
    </row>
    <row r="17" spans="1:4">
      <c r="A17" s="3218" t="s">
        <v>2701</v>
      </c>
      <c r="B17" s="3218"/>
      <c r="C17" s="3218"/>
      <c r="D17" s="3218"/>
    </row>
    <row r="18" spans="1:4">
      <c r="A18" s="3218" t="s">
        <v>2693</v>
      </c>
      <c r="B18" s="3218"/>
      <c r="C18" s="3218"/>
      <c r="D18" s="3218"/>
    </row>
    <row r="19" spans="1:4">
      <c r="A19" s="2869" t="s">
        <v>2694</v>
      </c>
      <c r="B19" s="2869" t="s">
        <v>2695</v>
      </c>
      <c r="C19" s="2869" t="s">
        <v>2696</v>
      </c>
      <c r="D19" s="2869" t="s">
        <v>2697</v>
      </c>
    </row>
    <row r="20" spans="1:4">
      <c r="A20" s="2869" t="str">
        <f>项目基本情况!B4</f>
        <v>吴薇</v>
      </c>
      <c r="B20" s="2869">
        <f ca="1">项目基本情况!C4</f>
        <v>2002110125</v>
      </c>
      <c r="C20" s="2871"/>
      <c r="D20" s="1801" t="s">
        <v>2702</v>
      </c>
    </row>
    <row r="21" spans="1:4">
      <c r="A21" s="2869" t="str">
        <f>项目基本情况!D4</f>
        <v>赵雯</v>
      </c>
      <c r="B21" s="2869">
        <f ca="1">项目基本情况!E4</f>
        <v>2011110090</v>
      </c>
      <c r="C21" s="2871"/>
      <c r="D21" s="1801" t="s">
        <v>2703</v>
      </c>
    </row>
    <row r="23" spans="1:4">
      <c r="A23" s="3218" t="s">
        <v>2698</v>
      </c>
      <c r="B23" s="3218"/>
      <c r="C23" s="3218"/>
      <c r="D23" s="3218"/>
    </row>
    <row r="24" spans="1:4">
      <c r="A24" s="2869" t="s">
        <v>2694</v>
      </c>
      <c r="B24" s="2869" t="s">
        <v>2699</v>
      </c>
      <c r="C24" s="2869" t="s">
        <v>2696</v>
      </c>
      <c r="D24" s="2869" t="s">
        <v>2697</v>
      </c>
    </row>
    <row r="25" spans="1:4">
      <c r="A25" s="2872" t="s">
        <v>2700</v>
      </c>
      <c r="B25" s="2869" t="s">
        <v>952</v>
      </c>
      <c r="C25" s="2871"/>
      <c r="D25" s="1801" t="s">
        <v>2703</v>
      </c>
    </row>
    <row r="29" spans="1:4">
      <c r="D29" s="2870" t="s">
        <v>2040</v>
      </c>
    </row>
    <row r="30" spans="1:4">
      <c r="D30" s="287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29" t="s">
        <v>53</v>
      </c>
      <c r="B15" s="3230" t="s">
        <v>846</v>
      </c>
      <c r="C15" s="3226"/>
    </row>
    <row r="16" spans="1:7" ht="14.25">
      <c r="A16" s="3229"/>
      <c r="B16" s="3227" t="s">
        <v>54</v>
      </c>
      <c r="C16" s="1172" t="s">
        <v>53</v>
      </c>
    </row>
    <row r="17" spans="1:3" ht="14.25">
      <c r="A17" s="3229"/>
      <c r="B17" s="3227"/>
      <c r="C17" s="1172" t="s">
        <v>55</v>
      </c>
    </row>
    <row r="18" spans="1:3" ht="14.25">
      <c r="A18" s="3229"/>
      <c r="B18" s="3227"/>
      <c r="C18" s="1172" t="s">
        <v>56</v>
      </c>
    </row>
    <row r="19" spans="1:3" ht="14.25">
      <c r="A19" s="3229"/>
      <c r="B19" s="3225" t="s">
        <v>57</v>
      </c>
      <c r="C19" s="3226"/>
    </row>
    <row r="20" spans="1:3" ht="14.25">
      <c r="A20" s="1173" t="s">
        <v>58</v>
      </c>
      <c r="B20" s="1174"/>
      <c r="C20" s="1175"/>
    </row>
    <row r="21" spans="1:3" ht="14.25">
      <c r="A21" s="3228" t="s">
        <v>59</v>
      </c>
      <c r="B21" s="3225" t="s">
        <v>60</v>
      </c>
      <c r="C21" s="3226"/>
    </row>
    <row r="22" spans="1:3" ht="14.25">
      <c r="A22" s="3228"/>
      <c r="B22" s="3225" t="s">
        <v>61</v>
      </c>
      <c r="C22" s="3226"/>
    </row>
    <row r="23" spans="1:3" ht="14.25">
      <c r="A23" s="3228"/>
      <c r="B23" s="3225" t="s">
        <v>62</v>
      </c>
      <c r="C23" s="3226"/>
    </row>
    <row r="24" spans="1:3" ht="14.25">
      <c r="A24" s="3228"/>
      <c r="B24" s="3231" t="s">
        <v>63</v>
      </c>
      <c r="C24" s="1176" t="s">
        <v>837</v>
      </c>
    </row>
    <row r="25" spans="1:3" ht="14.25">
      <c r="A25" s="3228"/>
      <c r="B25" s="3232"/>
      <c r="C25" s="1176" t="s">
        <v>838</v>
      </c>
    </row>
    <row r="26" spans="1:3" ht="14.25">
      <c r="A26" s="3228"/>
      <c r="B26" s="3232"/>
      <c r="C26" s="1176" t="s">
        <v>839</v>
      </c>
    </row>
    <row r="27" spans="1:3" ht="14.25">
      <c r="A27" s="3228"/>
      <c r="B27" s="3232"/>
      <c r="C27" s="1176" t="s">
        <v>840</v>
      </c>
    </row>
    <row r="28" spans="1:3" ht="14.25">
      <c r="A28" s="3228"/>
      <c r="B28" s="3232"/>
      <c r="C28" s="1176" t="s">
        <v>841</v>
      </c>
    </row>
    <row r="29" spans="1:3" ht="14.25">
      <c r="A29" s="3228"/>
      <c r="B29" s="3232"/>
      <c r="C29" s="1176" t="s">
        <v>842</v>
      </c>
    </row>
    <row r="30" spans="1:3" ht="14.25">
      <c r="A30" s="3228"/>
      <c r="B30" s="3232"/>
      <c r="C30" s="1176" t="s">
        <v>843</v>
      </c>
    </row>
    <row r="31" spans="1:3" ht="14.25">
      <c r="A31" s="3228"/>
      <c r="B31" s="3232"/>
      <c r="C31" s="1176" t="s">
        <v>844</v>
      </c>
    </row>
    <row r="32" spans="1:3" ht="14.25">
      <c r="A32" s="3228"/>
      <c r="B32" s="3232"/>
      <c r="C32" s="1176" t="s">
        <v>1647</v>
      </c>
    </row>
    <row r="33" spans="1:3" ht="14.25">
      <c r="A33" s="3228"/>
      <c r="B33" s="3222" t="s">
        <v>1653</v>
      </c>
      <c r="C33" s="1176" t="s">
        <v>1648</v>
      </c>
    </row>
    <row r="34" spans="1:3" ht="14.25">
      <c r="A34" s="3228"/>
      <c r="B34" s="3223"/>
      <c r="C34" s="1181" t="s">
        <v>1649</v>
      </c>
    </row>
    <row r="35" spans="1:3" ht="14.25">
      <c r="A35" s="3228"/>
      <c r="B35" s="3223"/>
      <c r="C35" s="1182" t="s">
        <v>1650</v>
      </c>
    </row>
    <row r="36" spans="1:3" ht="14.25">
      <c r="A36" s="3228"/>
      <c r="B36" s="3223"/>
      <c r="C36" s="1182" t="s">
        <v>1651</v>
      </c>
    </row>
    <row r="37" spans="1:3" ht="14.25">
      <c r="A37" s="3228"/>
      <c r="B37" s="3224"/>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1907</v>
      </c>
      <c r="B2" s="1657">
        <f ca="1">TODAY()</f>
        <v>43406</v>
      </c>
      <c r="C2" s="2340" t="s">
        <v>1908</v>
      </c>
      <c r="D2" s="2341"/>
    </row>
    <row r="3" spans="1:6" ht="20.25" customHeight="1">
      <c r="A3" s="2343" t="s">
        <v>1909</v>
      </c>
      <c r="B3" s="2344" t="s">
        <v>1910</v>
      </c>
      <c r="C3" s="2344" t="s">
        <v>1911</v>
      </c>
      <c r="D3" s="2345" t="s">
        <v>1912</v>
      </c>
      <c r="E3" s="2344" t="s">
        <v>1913</v>
      </c>
      <c r="F3" s="2344" t="s">
        <v>1911</v>
      </c>
    </row>
    <row r="4" spans="1:6" ht="20.25" customHeight="1">
      <c r="A4" s="2344" t="s">
        <v>1914</v>
      </c>
      <c r="B4" s="2344">
        <f ca="1">IF(C4&lt;B2,"已过期",1119970066)</f>
        <v>1119970066</v>
      </c>
      <c r="C4" s="3007">
        <v>43849</v>
      </c>
      <c r="D4" s="2344" t="s">
        <v>1914</v>
      </c>
      <c r="E4" s="2344">
        <f ca="1">IF(F4&lt;B2,"已过期",96010014)</f>
        <v>96010014</v>
      </c>
      <c r="F4" s="3008">
        <v>47118</v>
      </c>
    </row>
    <row r="5" spans="1:6" ht="20.25" customHeight="1">
      <c r="A5" s="2344" t="s">
        <v>1915</v>
      </c>
      <c r="B5" s="2344">
        <f ca="1">IF(C5&lt;B2,"已过期",1119970074)</f>
        <v>1119970074</v>
      </c>
      <c r="C5" s="3007">
        <v>43849</v>
      </c>
      <c r="D5" s="2344" t="s">
        <v>1915</v>
      </c>
      <c r="E5" s="2344">
        <f ca="1">IF(F5&lt;B2,"已过期",2002110027)</f>
        <v>2002110027</v>
      </c>
      <c r="F5" s="3008">
        <v>46752</v>
      </c>
    </row>
    <row r="6" spans="1:6" ht="20.25" customHeight="1">
      <c r="A6" s="2344" t="s">
        <v>1916</v>
      </c>
      <c r="B6" s="2344">
        <f ca="1">IF(C6&lt;B2,"已过期",1119970111)</f>
        <v>1119970111</v>
      </c>
      <c r="C6" s="3007">
        <v>43849</v>
      </c>
      <c r="D6" s="2344" t="s">
        <v>1916</v>
      </c>
      <c r="E6" s="2344">
        <f ca="1">IF(F6&lt;B2,"已过期",94010078)</f>
        <v>94010078</v>
      </c>
      <c r="F6" s="3008">
        <v>46387</v>
      </c>
    </row>
    <row r="7" spans="1:6" ht="20.25" customHeight="1">
      <c r="A7" s="2344" t="s">
        <v>1917</v>
      </c>
      <c r="B7" s="2344">
        <f ca="1">IF(C7&lt;B2,"已过期",1120050019)</f>
        <v>1120050019</v>
      </c>
      <c r="C7" s="3007">
        <v>44395</v>
      </c>
      <c r="D7" s="2344" t="s">
        <v>1917</v>
      </c>
      <c r="E7" s="2344">
        <f ca="1">IF(F7&lt;B2,"已过期",2002110030)</f>
        <v>2002110030</v>
      </c>
      <c r="F7" s="3008">
        <v>46387</v>
      </c>
    </row>
    <row r="8" spans="1:6" ht="20.25" customHeight="1">
      <c r="A8" s="2344" t="s">
        <v>1918</v>
      </c>
      <c r="B8" s="2344">
        <f ca="1">IF(C8&lt;B2,"已过期",1120000080)</f>
        <v>1120000080</v>
      </c>
      <c r="C8" s="3007">
        <v>43849</v>
      </c>
      <c r="D8" s="2344" t="s">
        <v>1918</v>
      </c>
      <c r="E8" s="2344">
        <f ca="1">IF(F8&lt;B2,"已过期",2000110082)</f>
        <v>2000110082</v>
      </c>
      <c r="F8" s="3008">
        <v>46387</v>
      </c>
    </row>
    <row r="9" spans="1:6" ht="20.25" customHeight="1">
      <c r="A9" s="2344" t="s">
        <v>1919</v>
      </c>
      <c r="B9" s="2344">
        <f ca="1">IF(C9&lt;B2,"已过期",1419970001)</f>
        <v>1419970001</v>
      </c>
      <c r="C9" s="3007">
        <v>43867</v>
      </c>
      <c r="D9" s="2344" t="s">
        <v>1919</v>
      </c>
      <c r="E9" s="2344">
        <f ca="1">IF(F9&lt;B2,"已过期",2002110125)</f>
        <v>2002110125</v>
      </c>
      <c r="F9" s="3008">
        <v>47118</v>
      </c>
    </row>
    <row r="10" spans="1:6" ht="20.25" customHeight="1">
      <c r="A10" s="2344" t="s">
        <v>1920</v>
      </c>
      <c r="B10" s="2344">
        <f ca="1">IF(C10&lt;B2,"已过期",1120060040)</f>
        <v>1120060040</v>
      </c>
      <c r="C10" s="3007">
        <v>43483</v>
      </c>
      <c r="D10" s="2344" t="s">
        <v>1920</v>
      </c>
      <c r="E10" s="2344">
        <f ca="1">IF(F10&lt;B2,"已过期",2004110096)</f>
        <v>2004110096</v>
      </c>
      <c r="F10" s="3008">
        <v>47118</v>
      </c>
    </row>
    <row r="11" spans="1:6" ht="20.25" customHeight="1">
      <c r="A11" s="2344" t="s">
        <v>1921</v>
      </c>
      <c r="B11" s="2344">
        <f ca="1">IF(C11&lt;B2,"已过期",1120100036)</f>
        <v>1120100036</v>
      </c>
      <c r="C11" s="3007">
        <v>43622</v>
      </c>
      <c r="D11" s="2344" t="s">
        <v>1921</v>
      </c>
      <c r="E11" s="2344">
        <f ca="1">IF(F11&lt;B2,"已过期",2010110070)</f>
        <v>2010110070</v>
      </c>
      <c r="F11" s="3008">
        <v>47907</v>
      </c>
    </row>
    <row r="12" spans="1:6" ht="20.25" customHeight="1">
      <c r="A12" s="2344" t="s">
        <v>2971</v>
      </c>
      <c r="B12" s="2344">
        <v>1120110054</v>
      </c>
      <c r="C12" s="3007">
        <v>43937</v>
      </c>
      <c r="D12" s="2344" t="s">
        <v>2971</v>
      </c>
      <c r="E12" s="2344">
        <v>2008110060</v>
      </c>
      <c r="F12" s="3008">
        <v>47177</v>
      </c>
    </row>
    <row r="13" spans="1:6" ht="20.25" customHeight="1">
      <c r="A13" s="2344" t="s">
        <v>1922</v>
      </c>
      <c r="B13" s="2344">
        <f ca="1">IF(C13&lt;B2,"已过期",1120070131)</f>
        <v>1120070131</v>
      </c>
      <c r="C13" s="3007">
        <v>43814</v>
      </c>
      <c r="D13" s="2344" t="s">
        <v>1922</v>
      </c>
      <c r="E13" s="2344">
        <v>2014110011</v>
      </c>
      <c r="F13" s="3008">
        <v>49302</v>
      </c>
    </row>
    <row r="14" spans="1:6" ht="20.25" customHeight="1">
      <c r="A14" s="2344" t="s">
        <v>1923</v>
      </c>
      <c r="B14" s="2344">
        <f ca="1">IF(C14&lt;B2,"已过期",1120130020)</f>
        <v>1120130020</v>
      </c>
      <c r="C14" s="3007">
        <v>43622</v>
      </c>
      <c r="D14" s="2344"/>
      <c r="E14" s="2344"/>
      <c r="F14" s="2344"/>
    </row>
    <row r="15" spans="1:6" ht="20.25" customHeight="1">
      <c r="A15" s="2344" t="s">
        <v>2574</v>
      </c>
      <c r="B15" s="2344">
        <v>1120070085</v>
      </c>
      <c r="C15" s="3007">
        <v>43814</v>
      </c>
      <c r="D15" s="2344" t="s">
        <v>2574</v>
      </c>
      <c r="E15" s="2344">
        <v>2004110128</v>
      </c>
      <c r="F15" s="3008">
        <v>47118</v>
      </c>
    </row>
    <row r="16" spans="1:6" ht="20.25" customHeight="1">
      <c r="A16" s="2344" t="s">
        <v>1924</v>
      </c>
      <c r="B16" s="2344">
        <f ca="1">IF(C16&lt;B2,"已过期",1120140022)</f>
        <v>1120140022</v>
      </c>
      <c r="C16" s="3007">
        <v>44029</v>
      </c>
      <c r="D16" s="2344" t="s">
        <v>1924</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1925</v>
      </c>
      <c r="E21" s="2344">
        <f ca="1">IF(F21&lt;B2,"已过期",2011110090)</f>
        <v>2011110090</v>
      </c>
      <c r="F21" s="3008">
        <v>48302</v>
      </c>
    </row>
    <row r="22" spans="1:7" ht="20.25" customHeight="1">
      <c r="A22" s="2344" t="s">
        <v>1926</v>
      </c>
      <c r="B22" s="2344">
        <f ca="1">IF(C22&lt;B2,"已过期",1120020033)</f>
        <v>1120020033</v>
      </c>
      <c r="C22" s="3007">
        <v>44339</v>
      </c>
      <c r="D22" s="2344" t="s">
        <v>1926</v>
      </c>
      <c r="E22" s="2344">
        <f ca="1">IF(F22&lt;B2,"已过期",2000110137)</f>
        <v>2000110137</v>
      </c>
      <c r="F22" s="3008">
        <v>46387</v>
      </c>
    </row>
    <row r="23" spans="1:7" ht="20.25" customHeight="1">
      <c r="A23" s="2344" t="s">
        <v>1927</v>
      </c>
      <c r="B23" s="2344">
        <f ca="1">IF(C23&lt;B2,"已过期",1120130048)</f>
        <v>1120130048</v>
      </c>
      <c r="C23" s="3007">
        <v>43686</v>
      </c>
      <c r="D23" s="2344"/>
      <c r="E23" s="2344"/>
      <c r="F23" s="2344"/>
    </row>
    <row r="24" spans="1:7" s="2348" customFormat="1" ht="20.25" customHeight="1">
      <c r="A24" s="2346" t="s">
        <v>2054</v>
      </c>
      <c r="B24" s="2346" t="s">
        <v>2054</v>
      </c>
      <c r="C24" s="3007"/>
      <c r="D24" s="3009" t="s">
        <v>2054</v>
      </c>
      <c r="E24" s="2346" t="s">
        <v>2054</v>
      </c>
      <c r="F24" s="2347"/>
    </row>
    <row r="25" spans="1:7" ht="20.25" customHeight="1">
      <c r="A25" s="3233" t="s">
        <v>1928</v>
      </c>
      <c r="B25" s="3233"/>
      <c r="C25" s="3233"/>
      <c r="D25" s="3233"/>
      <c r="E25" s="3233"/>
      <c r="F25" s="3233"/>
      <c r="G25" s="3233"/>
    </row>
    <row r="26" spans="1:7" ht="20.25" customHeight="1">
      <c r="A26" s="3234" t="s">
        <v>1929</v>
      </c>
      <c r="B26" s="3234"/>
      <c r="C26" s="3234"/>
      <c r="D26" s="3234" t="s">
        <v>1930</v>
      </c>
      <c r="E26" s="3234"/>
      <c r="F26" s="3234"/>
    </row>
    <row r="27" spans="1:7" s="2352" customFormat="1" ht="20.25" customHeight="1">
      <c r="A27" s="2349" t="s">
        <v>1931</v>
      </c>
      <c r="B27" s="2350" t="s">
        <v>1932</v>
      </c>
      <c r="C27" s="2350" t="s">
        <v>1933</v>
      </c>
      <c r="D27" s="2351" t="s">
        <v>1931</v>
      </c>
      <c r="E27" s="2350" t="s">
        <v>1932</v>
      </c>
      <c r="F27" s="2350" t="s">
        <v>1933</v>
      </c>
    </row>
    <row r="28" spans="1:7" s="2352" customFormat="1" ht="20.25" customHeight="1">
      <c r="A28" s="2353" t="s">
        <v>1934</v>
      </c>
      <c r="B28" s="2353" t="s">
        <v>1935</v>
      </c>
      <c r="C28" s="2354">
        <v>43725</v>
      </c>
      <c r="D28" s="2353" t="s">
        <v>1936</v>
      </c>
      <c r="E28" s="2353" t="s">
        <v>1937</v>
      </c>
      <c r="F28" s="2355">
        <v>44377</v>
      </c>
    </row>
    <row r="29" spans="1:7" s="2352" customFormat="1" ht="20.25" customHeight="1">
      <c r="A29" s="2353"/>
      <c r="B29" s="2353"/>
      <c r="C29" s="2356"/>
      <c r="D29" s="2353" t="s">
        <v>1938</v>
      </c>
      <c r="E29" s="2357" t="s">
        <v>2937</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29" priority="90">
      <formula>AND($C24-TODAY()&lt;30,TODAY()&lt;$C24)</formula>
    </cfRule>
  </conditionalFormatting>
  <conditionalFormatting sqref="C28">
    <cfRule type="expression" dxfId="228" priority="89">
      <formula>AND($C28-TODAY()&lt;30,TODAY()&lt;$C28)</formula>
    </cfRule>
  </conditionalFormatting>
  <conditionalFormatting sqref="C28 F4">
    <cfRule type="cellIs" dxfId="227" priority="91" stopIfTrue="1" operator="lessThan">
      <formula>$B$2</formula>
    </cfRule>
  </conditionalFormatting>
  <conditionalFormatting sqref="F5">
    <cfRule type="cellIs" dxfId="226" priority="87" stopIfTrue="1" operator="lessThan">
      <formula>$B$2</formula>
    </cfRule>
  </conditionalFormatting>
  <conditionalFormatting sqref="F6 F8 F10">
    <cfRule type="cellIs" dxfId="225" priority="85" stopIfTrue="1" operator="lessThan">
      <formula>$B$2</formula>
    </cfRule>
  </conditionalFormatting>
  <conditionalFormatting sqref="C24:D24">
    <cfRule type="expression" dxfId="224" priority="83">
      <formula>AND($C24-TODAY()&lt;30,TODAY()&lt;$C24)</formula>
    </cfRule>
  </conditionalFormatting>
  <conditionalFormatting sqref="F7 F9 F11 C24:D24">
    <cfRule type="cellIs" dxfId="223" priority="84" stopIfTrue="1" operator="lessThan">
      <formula>$B$2</formula>
    </cfRule>
  </conditionalFormatting>
  <conditionalFormatting sqref="F16">
    <cfRule type="cellIs" dxfId="222" priority="57" stopIfTrue="1" operator="lessThan">
      <formula>$B$2</formula>
    </cfRule>
  </conditionalFormatting>
  <conditionalFormatting sqref="F18">
    <cfRule type="cellIs" dxfId="221" priority="56" stopIfTrue="1" operator="lessThan">
      <formula>$B$2</formula>
    </cfRule>
  </conditionalFormatting>
  <conditionalFormatting sqref="F22">
    <cfRule type="cellIs" dxfId="220" priority="55" stopIfTrue="1" operator="lessThan">
      <formula>$B$2</formula>
    </cfRule>
  </conditionalFormatting>
  <conditionalFormatting sqref="F21">
    <cfRule type="cellIs" dxfId="219" priority="54" stopIfTrue="1" operator="lessThan">
      <formula>$B$2</formula>
    </cfRule>
  </conditionalFormatting>
  <conditionalFormatting sqref="F17">
    <cfRule type="cellIs" dxfId="218" priority="53" stopIfTrue="1" operator="lessThan">
      <formula>$B$2</formula>
    </cfRule>
  </conditionalFormatting>
  <conditionalFormatting sqref="B4:B11 E4:E11 E16:E23 B16:B23 B13:B14 E13:E14">
    <cfRule type="cellIs" dxfId="217" priority="52" stopIfTrue="1" operator="equal">
      <formula>"已过期"</formula>
    </cfRule>
  </conditionalFormatting>
  <conditionalFormatting sqref="F28">
    <cfRule type="cellIs" dxfId="216" priority="49" stopIfTrue="1" operator="lessThan">
      <formula>$B$2</formula>
    </cfRule>
  </conditionalFormatting>
  <conditionalFormatting sqref="F29">
    <cfRule type="cellIs" dxfId="215" priority="47" stopIfTrue="1" operator="lessThan">
      <formula>$B$2</formula>
    </cfRule>
  </conditionalFormatting>
  <conditionalFormatting sqref="F28">
    <cfRule type="expression" dxfId="214" priority="93">
      <formula>AND($E28-TODAY()&lt;30,TODAY()&lt;$E28)</formula>
    </cfRule>
  </conditionalFormatting>
  <conditionalFormatting sqref="F29">
    <cfRule type="expression" dxfId="213" priority="94" stopIfTrue="1">
      <formula>AND($E29-TODAY()&lt;30,TODAY()&lt;$E29)</formula>
    </cfRule>
  </conditionalFormatting>
  <conditionalFormatting sqref="C5">
    <cfRule type="expression" dxfId="212" priority="44">
      <formula>AND($C5-TODAY()&lt;30,TODAY()&lt;$C5)</formula>
    </cfRule>
  </conditionalFormatting>
  <conditionalFormatting sqref="C5">
    <cfRule type="cellIs" dxfId="211" priority="45" stopIfTrue="1" operator="lessThan">
      <formula>$B$2</formula>
    </cfRule>
  </conditionalFormatting>
  <conditionalFormatting sqref="C4:C6">
    <cfRule type="expression" dxfId="210" priority="42">
      <formula>AND($C4-TODAY()&lt;30,TODAY()&lt;$C4)</formula>
    </cfRule>
  </conditionalFormatting>
  <conditionalFormatting sqref="C4:C6">
    <cfRule type="cellIs" dxfId="209" priority="43" stopIfTrue="1" operator="lessThan">
      <formula>$B$2</formula>
    </cfRule>
  </conditionalFormatting>
  <conditionalFormatting sqref="C8:C9">
    <cfRule type="expression" dxfId="208" priority="40">
      <formula>AND($C8-TODAY()&lt;30,TODAY()&lt;$C8)</formula>
    </cfRule>
  </conditionalFormatting>
  <conditionalFormatting sqref="C8:C9">
    <cfRule type="cellIs" dxfId="207" priority="41" stopIfTrue="1" operator="lessThan">
      <formula>$B$2</formula>
    </cfRule>
  </conditionalFormatting>
  <conditionalFormatting sqref="B15 E15">
    <cfRule type="cellIs" dxfId="206" priority="28" stopIfTrue="1" operator="equal">
      <formula>"已过期"</formula>
    </cfRule>
  </conditionalFormatting>
  <conditionalFormatting sqref="F15">
    <cfRule type="cellIs" dxfId="205" priority="25" stopIfTrue="1" operator="lessThan">
      <formula>$B$2</formula>
    </cfRule>
  </conditionalFormatting>
  <conditionalFormatting sqref="C7">
    <cfRule type="expression" dxfId="204" priority="23">
      <formula>AND($C7-TODAY()&lt;30,TODAY()&lt;$C7)</formula>
    </cfRule>
  </conditionalFormatting>
  <conditionalFormatting sqref="C7">
    <cfRule type="cellIs" dxfId="203" priority="24" stopIfTrue="1" operator="lessThan">
      <formula>$B$2</formula>
    </cfRule>
  </conditionalFormatting>
  <conditionalFormatting sqref="C10:C11 C13:C21 C23">
    <cfRule type="expression" dxfId="202" priority="21">
      <formula>AND($C10-TODAY()&lt;30,TODAY()&lt;$C10)</formula>
    </cfRule>
  </conditionalFormatting>
  <conditionalFormatting sqref="C10:C11 C13:C21 C23">
    <cfRule type="cellIs" dxfId="201" priority="22" stopIfTrue="1" operator="lessThan">
      <formula>$B$2</formula>
    </cfRule>
  </conditionalFormatting>
  <conditionalFormatting sqref="F13">
    <cfRule type="cellIs" dxfId="200" priority="20" stopIfTrue="1" operator="lessThan">
      <formula>$B$2</formula>
    </cfRule>
  </conditionalFormatting>
  <conditionalFormatting sqref="F12">
    <cfRule type="cellIs" dxfId="199" priority="12" stopIfTrue="1" operator="lessThan">
      <formula>$B$2</formula>
    </cfRule>
  </conditionalFormatting>
  <conditionalFormatting sqref="B12 E12">
    <cfRule type="cellIs" dxfId="198" priority="11" stopIfTrue="1" operator="equal">
      <formula>"已过期"</formula>
    </cfRule>
  </conditionalFormatting>
  <conditionalFormatting sqref="C12">
    <cfRule type="expression" dxfId="197" priority="9">
      <formula>AND($C12-TODAY()&lt;30,TODAY()&lt;$C12)</formula>
    </cfRule>
  </conditionalFormatting>
  <conditionalFormatting sqref="C12">
    <cfRule type="cellIs" dxfId="196" priority="10" stopIfTrue="1" operator="lessThan">
      <formula>$B$2</formula>
    </cfRule>
  </conditionalFormatting>
  <conditionalFormatting sqref="C22">
    <cfRule type="expression" dxfId="195" priority="1">
      <formula>AND($C22-TODAY()&lt;30,TODAY()&lt;$C22)</formula>
    </cfRule>
  </conditionalFormatting>
  <conditionalFormatting sqref="C22">
    <cfRule type="cellIs" dxfId="194"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6" sqref="Y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2545</v>
      </c>
      <c r="R1" s="2583" t="s">
        <v>2539</v>
      </c>
      <c r="S1" s="6" t="s">
        <v>146</v>
      </c>
      <c r="T1" s="7" t="s">
        <v>147</v>
      </c>
      <c r="U1" s="6" t="s">
        <v>148</v>
      </c>
      <c r="V1" s="6" t="s">
        <v>149</v>
      </c>
      <c r="W1" s="1004" t="s">
        <v>874</v>
      </c>
    </row>
    <row r="2" spans="1:23">
      <c r="A2" s="8" t="s">
        <v>73</v>
      </c>
      <c r="B2" s="8" t="s">
        <v>150</v>
      </c>
      <c r="C2" s="1551"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52"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51" t="s">
        <v>1711</v>
      </c>
      <c r="D4" s="9" t="s">
        <v>1995</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51"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9" t="s">
        <v>1641</v>
      </c>
      <c r="C6" s="1553"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51" t="s">
        <v>1714</v>
      </c>
      <c r="F7" s="9" t="s">
        <v>154</v>
      </c>
      <c r="H7" s="9" t="s">
        <v>104</v>
      </c>
      <c r="I7" s="9" t="s">
        <v>105</v>
      </c>
    </row>
    <row r="8" spans="1:23">
      <c r="A8" s="8" t="s">
        <v>106</v>
      </c>
      <c r="B8" s="8" t="s">
        <v>107</v>
      </c>
      <c r="C8" s="1551" t="s">
        <v>1715</v>
      </c>
      <c r="F8" s="9" t="s">
        <v>155</v>
      </c>
      <c r="H8" s="9"/>
      <c r="I8" s="9" t="s">
        <v>108</v>
      </c>
    </row>
    <row r="9" spans="1:23">
      <c r="A9" s="8" t="s">
        <v>109</v>
      </c>
      <c r="B9" s="8" t="s">
        <v>156</v>
      </c>
      <c r="C9" s="1551" t="s">
        <v>1716</v>
      </c>
      <c r="F9" s="9" t="s">
        <v>110</v>
      </c>
      <c r="H9" s="9"/>
    </row>
    <row r="10" spans="1:23">
      <c r="A10" s="8" t="s">
        <v>111</v>
      </c>
      <c r="B10" s="8" t="s">
        <v>157</v>
      </c>
      <c r="C10" s="1551" t="s">
        <v>1717</v>
      </c>
      <c r="F10" s="9" t="s">
        <v>6</v>
      </c>
    </row>
    <row r="11" spans="1:23">
      <c r="A11" s="8" t="s">
        <v>112</v>
      </c>
      <c r="B11" s="8" t="s">
        <v>158</v>
      </c>
      <c r="C11" s="1551" t="s">
        <v>1718</v>
      </c>
    </row>
    <row r="12" spans="1:23">
      <c r="A12" s="8" t="s">
        <v>113</v>
      </c>
      <c r="B12" s="8" t="s">
        <v>159</v>
      </c>
      <c r="C12" s="1551" t="s">
        <v>1719</v>
      </c>
    </row>
    <row r="13" spans="1:23">
      <c r="A13" s="8" t="s">
        <v>114</v>
      </c>
      <c r="B13" s="8" t="s">
        <v>160</v>
      </c>
      <c r="C13" s="1551" t="s">
        <v>1720</v>
      </c>
    </row>
    <row r="14" spans="1:23">
      <c r="A14" s="8" t="s">
        <v>115</v>
      </c>
      <c r="B14" s="8" t="s">
        <v>161</v>
      </c>
      <c r="C14" s="1554" t="s">
        <v>1896</v>
      </c>
    </row>
    <row r="15" spans="1:23">
      <c r="A15" s="8" t="s">
        <v>116</v>
      </c>
      <c r="B15" s="8" t="s">
        <v>1682</v>
      </c>
      <c r="C15" s="1554"/>
    </row>
    <row r="16" spans="1:23">
      <c r="A16" s="8" t="s">
        <v>117</v>
      </c>
      <c r="B16" s="3184" t="s">
        <v>3408</v>
      </c>
      <c r="C16" s="1554"/>
    </row>
    <row r="17" spans="1:3">
      <c r="A17" s="8" t="s">
        <v>118</v>
      </c>
      <c r="B17" s="8" t="s">
        <v>1683</v>
      </c>
      <c r="C17" s="1554"/>
    </row>
    <row r="18" spans="1:3">
      <c r="A18" s="8" t="s">
        <v>119</v>
      </c>
      <c r="B18" s="3114" t="s">
        <v>2949</v>
      </c>
      <c r="C18" s="1554"/>
    </row>
    <row r="19" spans="1:3">
      <c r="A19" s="8" t="s">
        <v>120</v>
      </c>
      <c r="B19" s="3114" t="s">
        <v>2957</v>
      </c>
      <c r="C19" s="1554"/>
    </row>
    <row r="20" spans="1:3">
      <c r="A20" s="8" t="s">
        <v>121</v>
      </c>
      <c r="B20" s="8" t="s">
        <v>3409</v>
      </c>
      <c r="C20" s="1554"/>
    </row>
    <row r="21" spans="1:3">
      <c r="A21" s="8" t="s">
        <v>122</v>
      </c>
      <c r="B21" s="8" t="s">
        <v>3419</v>
      </c>
      <c r="C21" s="1554"/>
    </row>
    <row r="22" spans="1:3">
      <c r="A22" s="8" t="s">
        <v>123</v>
      </c>
      <c r="B22" s="8" t="s">
        <v>3420</v>
      </c>
      <c r="C22" s="1554"/>
    </row>
    <row r="23" spans="1:3">
      <c r="A23" s="8" t="s">
        <v>124</v>
      </c>
      <c r="B23" s="8" t="s">
        <v>3421</v>
      </c>
      <c r="C23" s="1554"/>
    </row>
    <row r="24" spans="1:3">
      <c r="A24" s="8" t="s">
        <v>12</v>
      </c>
      <c r="B24" s="8" t="s">
        <v>3422</v>
      </c>
      <c r="C24" s="1554"/>
    </row>
    <row r="25" spans="1:3">
      <c r="A25" s="8" t="s">
        <v>125</v>
      </c>
      <c r="B25" s="8" t="s">
        <v>3438</v>
      </c>
      <c r="C25" s="1554"/>
    </row>
    <row r="26" spans="1:3">
      <c r="A26" s="8" t="s">
        <v>126</v>
      </c>
      <c r="B26" s="8" t="s">
        <v>1642</v>
      </c>
      <c r="C26" s="1554"/>
    </row>
    <row r="27" spans="1:3">
      <c r="A27" s="3114" t="s">
        <v>3009</v>
      </c>
      <c r="B27" s="8" t="s">
        <v>1642</v>
      </c>
      <c r="C27" s="1554"/>
    </row>
    <row r="28" spans="1:3">
      <c r="A28" s="3114" t="s">
        <v>3011</v>
      </c>
      <c r="B28" s="8" t="s">
        <v>1642</v>
      </c>
      <c r="C28" s="1554"/>
    </row>
    <row r="29" spans="1:3">
      <c r="A29" s="3114" t="s">
        <v>3013</v>
      </c>
      <c r="B29" s="8" t="s">
        <v>1642</v>
      </c>
      <c r="C29" s="1554"/>
    </row>
    <row r="30" spans="1:3">
      <c r="A30" s="3114" t="s">
        <v>3435</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1944</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农商行）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精图科工贸集团拟使用北京市丰台区西三环南路16号商务金融用地出让国有建设用地使用权出让国有建设用地使用权作为抵押担保物，向农商行办理贷款手续。农商行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35"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29日，在规划利用条件下、设定土地开发程度为红线外“七通”、宗地内场地平整，设定用途为商业，剩余土地使用年限为商业38.58年的出让国有建设用地使用权价格。</v>
      </c>
      <c r="D53" s="1768"/>
      <c r="E53" s="1768"/>
    </row>
    <row r="54" spans="1:5">
      <c r="A54" s="3235"/>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35"/>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35"/>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35"/>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131</vt:i4>
      </vt:variant>
    </vt:vector>
  </HeadingPairs>
  <TitlesOfParts>
    <vt:vector size="17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vt:lpstr>
      <vt:lpstr>比较法-住宅、综合</vt:lpstr>
      <vt:lpstr>剩余法-待开发</vt:lpstr>
      <vt:lpstr>剩余法-现房</vt:lpstr>
      <vt:lpstr>比较法-工业</vt:lpstr>
      <vt:lpstr>修正</vt:lpstr>
      <vt:lpstr>区片价</vt:lpstr>
      <vt:lpstr>容积率修正</vt:lpstr>
      <vt:lpstr>因素修正幅度</vt:lpstr>
      <vt:lpstr>基准地价（汇总）</vt:lpstr>
      <vt:lpstr>收益还原法</vt:lpstr>
      <vt:lpstr>地价</vt:lpstr>
      <vt:lpstr>不动产收益法-商业</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不动产收益法-体育设施</vt:lpstr>
      <vt:lpstr>不动产收益法-教育培训</vt:lpstr>
      <vt:lpstr>不动产收益法-冰场</vt:lpstr>
      <vt:lpstr>不动产收益法-车库</vt:lpstr>
      <vt:lpstr>不动产收益法-地下商业</vt:lpstr>
      <vt:lpstr>Sheet1</vt:lpstr>
      <vt:lpstr>Sheet6</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2018-11-02T02:07:28Z</dcterms:modified>
</cp:coreProperties>
</file>